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drawings/drawing6.xml" ContentType="application/vnd.openxmlformats-officedocument.drawing+xml"/>
  <Override PartName="/xl/tables/table2.xml" ContentType="application/vnd.openxmlformats-officedocument.spreadsheetml.table+xml"/>
  <Override PartName="/xl/drawings/drawing7.xml" ContentType="application/vnd.openxmlformats-officedocument.drawing+xml"/>
  <Override PartName="/xl/tables/table3.xml" ContentType="application/vnd.openxmlformats-officedocument.spreadsheetml.table+xml"/>
  <Override PartName="/xl/drawings/drawing8.xml" ContentType="application/vnd.openxmlformats-officedocument.drawing+xml"/>
  <Override PartName="/xl/tables/table4.xml" ContentType="application/vnd.openxmlformats-officedocument.spreadsheetml.table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drawings/drawing10.xml" ContentType="application/vnd.openxmlformats-officedocument.drawing+xml"/>
  <Override PartName="/xl/tables/table6.xml" ContentType="application/vnd.openxmlformats-officedocument.spreadsheetml.table+xml"/>
  <Override PartName="/xl/drawings/drawing11.xml" ContentType="application/vnd.openxmlformats-officedocument.drawing+xml"/>
  <Override PartName="/xl/tables/table7.xml" ContentType="application/vnd.openxmlformats-officedocument.spreadsheetml.table+xml"/>
  <Override PartName="/xl/drawings/drawing12.xml" ContentType="application/vnd.openxmlformats-officedocument.drawing+xml"/>
  <Override PartName="/xl/tables/table8.xml" ContentType="application/vnd.openxmlformats-officedocument.spreadsheetml.table+xml"/>
  <Override PartName="/xl/drawings/drawing13.xml" ContentType="application/vnd.openxmlformats-officedocument.drawing+xml"/>
  <Override PartName="/xl/tables/table9.xml" ContentType="application/vnd.openxmlformats-officedocument.spreadsheetml.table+xml"/>
  <Override PartName="/xl/drawings/drawing14.xml" ContentType="application/vnd.openxmlformats-officedocument.drawing+xml"/>
  <Override PartName="/xl/tables/table10.xml" ContentType="application/vnd.openxmlformats-officedocument.spreadsheetml.table+xml"/>
  <Override PartName="/xl/drawings/drawing15.xml" ContentType="application/vnd.openxmlformats-officedocument.drawing+xml"/>
  <Override PartName="/xl/tables/table11.xml" ContentType="application/vnd.openxmlformats-officedocument.spreadsheetml.table+xml"/>
  <Override PartName="/xl/drawings/drawing16.xml" ContentType="application/vnd.openxmlformats-officedocument.drawing+xml"/>
  <Override PartName="/xl/tables/table12.xml" ContentType="application/vnd.openxmlformats-officedocument.spreadsheetml.table+xml"/>
  <Override PartName="/xl/drawings/drawing17.xml" ContentType="application/vnd.openxmlformats-officedocument.drawing+xml"/>
  <Override PartName="/xl/tables/table13.xml" ContentType="application/vnd.openxmlformats-officedocument.spreadsheetml.table+xml"/>
  <Override PartName="/xl/drawings/drawing18.xml" ContentType="application/vnd.openxmlformats-officedocument.drawing+xml"/>
  <Override PartName="/xl/tables/table14.xml" ContentType="application/vnd.openxmlformats-officedocument.spreadsheetml.table+xml"/>
  <Override PartName="/xl/drawings/drawing19.xml" ContentType="application/vnd.openxmlformats-officedocument.drawing+xml"/>
  <Override PartName="/xl/tables/table15.xml" ContentType="application/vnd.openxmlformats-officedocument.spreadsheetml.table+xml"/>
  <Override PartName="/xl/drawings/drawing20.xml" ContentType="application/vnd.openxmlformats-officedocument.drawing+xml"/>
  <Override PartName="/xl/tables/table16.xml" ContentType="application/vnd.openxmlformats-officedocument.spreadsheetml.table+xml"/>
  <Override PartName="/xl/drawings/drawing21.xml" ContentType="application/vnd.openxmlformats-officedocument.drawing+xml"/>
  <Override PartName="/xl/tables/table17.xml" ContentType="application/vnd.openxmlformats-officedocument.spreadsheetml.table+xml"/>
  <Override PartName="/xl/drawings/drawing22.xml" ContentType="application/vnd.openxmlformats-officedocument.drawing+xml"/>
  <Override PartName="/xl/tables/table18.xml" ContentType="application/vnd.openxmlformats-officedocument.spreadsheetml.table+xml"/>
  <Override PartName="/xl/drawings/drawing23.xml" ContentType="application/vnd.openxmlformats-officedocument.drawing+xml"/>
  <Override PartName="/xl/tables/table19.xml" ContentType="application/vnd.openxmlformats-officedocument.spreadsheetml.table+xml"/>
  <Override PartName="/xl/drawings/drawing24.xml" ContentType="application/vnd.openxmlformats-officedocument.drawing+xml"/>
  <Override PartName="/xl/tables/table20.xml" ContentType="application/vnd.openxmlformats-officedocument.spreadsheetml.table+xml"/>
  <Override PartName="/xl/drawings/drawing25.xml" ContentType="application/vnd.openxmlformats-officedocument.drawing+xml"/>
  <Override PartName="/xl/tables/table21.xml" ContentType="application/vnd.openxmlformats-officedocument.spreadsheetml.table+xml"/>
  <Override PartName="/xl/drawings/drawing26.xml" ContentType="application/vnd.openxmlformats-officedocument.drawing+xml"/>
  <Override PartName="/xl/tables/table22.xml" ContentType="application/vnd.openxmlformats-officedocument.spreadsheetml.table+xml"/>
  <Override PartName="/xl/drawings/drawing27.xml" ContentType="application/vnd.openxmlformats-officedocument.drawing+xml"/>
  <Override PartName="/xl/tables/table23.xml" ContentType="application/vnd.openxmlformats-officedocument.spreadsheetml.table+xml"/>
  <Override PartName="/xl/drawings/drawing28.xml" ContentType="application/vnd.openxmlformats-officedocument.drawing+xml"/>
  <Override PartName="/xl/tables/table24.xml" ContentType="application/vnd.openxmlformats-officedocument.spreadsheetml.table+xml"/>
  <Override PartName="/xl/drawings/drawing29.xml" ContentType="application/vnd.openxmlformats-officedocument.drawing+xml"/>
  <Override PartName="/xl/tables/table25.xml" ContentType="application/vnd.openxmlformats-officedocument.spreadsheetml.table+xml"/>
  <Override PartName="/xl/drawings/drawing30.xml" ContentType="application/vnd.openxmlformats-officedocument.drawing+xml"/>
  <Override PartName="/xl/tables/table26.xml" ContentType="application/vnd.openxmlformats-officedocument.spreadsheetml.table+xml"/>
  <Override PartName="/xl/drawings/drawing31.xml" ContentType="application/vnd.openxmlformats-officedocument.drawing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24915" windowHeight="12210" tabRatio="821"/>
  </bookViews>
  <sheets>
    <sheet name="ПОЧЕТНА" sheetId="31" r:id="rId1"/>
    <sheet name="Подаци о поуђачу" sheetId="33" r:id="rId2"/>
    <sheet name="Подаци о уч заједничка по" sheetId="34" r:id="rId3"/>
    <sheet name="Подаци о подизвођачу" sheetId="35" r:id="rId4"/>
    <sheet name="П-1" sheetId="2" r:id="rId5"/>
    <sheet name="П-2" sheetId="3" r:id="rId6"/>
    <sheet name="П-3" sheetId="4" r:id="rId7"/>
    <sheet name="П-4" sheetId="5" r:id="rId8"/>
    <sheet name="П-5" sheetId="6" r:id="rId9"/>
    <sheet name="П-6" sheetId="7" r:id="rId10"/>
    <sheet name="П-7" sheetId="8" r:id="rId11"/>
    <sheet name="П-8" sheetId="9" r:id="rId12"/>
    <sheet name="П-9" sheetId="10" r:id="rId13"/>
    <sheet name="П-10" sheetId="11" r:id="rId14"/>
    <sheet name="П-11" sheetId="12" r:id="rId15"/>
    <sheet name="П-12" sheetId="13" r:id="rId16"/>
    <sheet name="П-13" sheetId="14" r:id="rId17"/>
    <sheet name="П-14" sheetId="15" r:id="rId18"/>
    <sheet name="П-15" sheetId="16" r:id="rId19"/>
    <sheet name="П-16" sheetId="17" r:id="rId20"/>
    <sheet name="П-17" sheetId="18" r:id="rId21"/>
    <sheet name="П-18" sheetId="19" r:id="rId22"/>
    <sheet name="П-19" sheetId="20" r:id="rId23"/>
    <sheet name="П-20" sheetId="21" r:id="rId24"/>
    <sheet name="П-21" sheetId="22" r:id="rId25"/>
    <sheet name="П-22" sheetId="23" r:id="rId26"/>
    <sheet name="П-23" sheetId="24" r:id="rId27"/>
    <sheet name="П-24" sheetId="25" r:id="rId28"/>
    <sheet name="П-25" sheetId="26" r:id="rId29"/>
    <sheet name="П-26" sheetId="27" r:id="rId30"/>
    <sheet name="П-27" sheetId="28" r:id="rId31"/>
    <sheet name="П-28" sheetId="29" r:id="rId32"/>
  </sheets>
  <definedNames>
    <definedName name="_xlnm.Print_Area" localSheetId="13">'П-10'!$A$1:$L$26</definedName>
    <definedName name="_xlnm.Print_Area" localSheetId="14">'П-11'!$A$1:$L$28</definedName>
    <definedName name="_xlnm.Print_Area" localSheetId="15">'П-12'!$A$1:$L$28</definedName>
    <definedName name="_xlnm.Print_Area" localSheetId="16">'П-13'!$A$1:$L$28</definedName>
    <definedName name="_xlnm.Print_Area" localSheetId="17">'П-14'!$A$1:$L$26</definedName>
    <definedName name="_xlnm.Print_Area" localSheetId="18">'П-15'!$A$1:$L$26</definedName>
    <definedName name="_xlnm.Print_Area" localSheetId="20">'П-17'!$A$1:$L$27</definedName>
    <definedName name="_xlnm.Print_Area" localSheetId="21">'П-18'!$A$1:$L$28</definedName>
    <definedName name="_xlnm.Print_Area" localSheetId="5">'П-2'!$A$1:$L$26</definedName>
    <definedName name="_xlnm.Print_Area" localSheetId="23">'П-20'!$A$1:$L$43</definedName>
    <definedName name="_xlnm.Print_Area" localSheetId="24">'П-21'!$A$1:$L$31</definedName>
    <definedName name="_xlnm.Print_Area" localSheetId="25">'П-22'!$A$1:$L$32</definedName>
    <definedName name="_xlnm.Print_Area" localSheetId="26">'П-23'!$A$1:$L$27</definedName>
    <definedName name="_xlnm.Print_Area" localSheetId="27">'П-24'!$A$1:$L$25</definedName>
    <definedName name="_xlnm.Print_Area" localSheetId="28">'П-25'!$A$1:$L$24</definedName>
    <definedName name="_xlnm.Print_Area" localSheetId="30">'П-27'!$A$1:$L$25</definedName>
    <definedName name="_xlnm.Print_Area" localSheetId="31">'П-28'!$A$1:$L$38</definedName>
    <definedName name="_xlnm.Print_Area" localSheetId="7">'П-4'!$A$1:$L$24</definedName>
    <definedName name="_xlnm.Print_Area" localSheetId="9">'П-6'!$A$1:$L$26</definedName>
    <definedName name="_xlnm.Print_Area" localSheetId="10">'П-7'!$A$1:$L$29</definedName>
    <definedName name="_xlnm.Print_Area" localSheetId="11">'П-8'!$A$1:$L$29</definedName>
    <definedName name="_xlnm.Print_Area" localSheetId="12">'П-9'!$A$1:$L$24</definedName>
    <definedName name="_xlnm.Print_Area" localSheetId="1">'Подаци о поуђачу'!$A$1:$Q$49</definedName>
    <definedName name="_xlnm.Print_Area" localSheetId="2">'Подаци о уч заједничка по'!$A$1:$Q$45</definedName>
    <definedName name="_xlnm.Print_Area" localSheetId="0">ПОЧЕТНА!$A$1:$V$31</definedName>
  </definedNames>
  <calcPr calcId="144525"/>
</workbook>
</file>

<file path=xl/calcChain.xml><?xml version="1.0" encoding="utf-8"?>
<calcChain xmlns="http://schemas.openxmlformats.org/spreadsheetml/2006/main">
  <c r="H15" i="29" l="1"/>
  <c r="H14" i="29"/>
  <c r="I14" i="29" s="1"/>
  <c r="H13" i="29"/>
  <c r="H12" i="29"/>
  <c r="H11" i="29"/>
  <c r="H10" i="29"/>
  <c r="I10" i="29" s="1"/>
  <c r="H9" i="29"/>
  <c r="H8" i="29"/>
  <c r="I8" i="29" s="1"/>
  <c r="H7" i="29"/>
  <c r="H6" i="29"/>
  <c r="I6" i="29" s="1"/>
  <c r="H7" i="28"/>
  <c r="I7" i="28" s="1"/>
  <c r="H6" i="28"/>
  <c r="G10" i="28" s="1"/>
  <c r="H38" i="27"/>
  <c r="I38" i="27" s="1"/>
  <c r="J38" i="27" s="1"/>
  <c r="H39" i="27"/>
  <c r="I39" i="27" s="1"/>
  <c r="J39" i="27" s="1"/>
  <c r="H40" i="27"/>
  <c r="I40" i="27" s="1"/>
  <c r="J40" i="27" s="1"/>
  <c r="H41" i="27"/>
  <c r="I41" i="27" s="1"/>
  <c r="J41" i="27" s="1"/>
  <c r="H42" i="27"/>
  <c r="I42" i="27" s="1"/>
  <c r="J42" i="27" s="1"/>
  <c r="H43" i="27"/>
  <c r="I43" i="27" s="1"/>
  <c r="J43" i="27" s="1"/>
  <c r="H44" i="27"/>
  <c r="I44" i="27" s="1"/>
  <c r="J44" i="27" s="1"/>
  <c r="H45" i="27"/>
  <c r="I45" i="27" s="1"/>
  <c r="J45" i="27" s="1"/>
  <c r="H46" i="27"/>
  <c r="I46" i="27" s="1"/>
  <c r="J46" i="27" s="1"/>
  <c r="H37" i="27"/>
  <c r="H36" i="27"/>
  <c r="H35" i="27"/>
  <c r="H34" i="27"/>
  <c r="I34" i="27" s="1"/>
  <c r="H33" i="27"/>
  <c r="H32" i="27"/>
  <c r="I32" i="27" s="1"/>
  <c r="H31" i="27"/>
  <c r="H30" i="27"/>
  <c r="H29" i="27"/>
  <c r="H28" i="27"/>
  <c r="I28" i="27" s="1"/>
  <c r="H27" i="27"/>
  <c r="H26" i="27"/>
  <c r="H25" i="27"/>
  <c r="H24" i="27"/>
  <c r="I24" i="27" s="1"/>
  <c r="H23" i="27"/>
  <c r="H22" i="27"/>
  <c r="H21" i="27"/>
  <c r="H20" i="27"/>
  <c r="H19" i="27"/>
  <c r="H18" i="27"/>
  <c r="H17" i="27"/>
  <c r="H16" i="27"/>
  <c r="I16" i="27" s="1"/>
  <c r="H15" i="27"/>
  <c r="H14" i="27"/>
  <c r="I14" i="27" s="1"/>
  <c r="H13" i="27"/>
  <c r="H12" i="27"/>
  <c r="I12" i="27" s="1"/>
  <c r="H11" i="27"/>
  <c r="H10" i="27"/>
  <c r="I10" i="27" s="1"/>
  <c r="H9" i="27"/>
  <c r="H8" i="27"/>
  <c r="I8" i="27" s="1"/>
  <c r="H7" i="27"/>
  <c r="H6" i="27"/>
  <c r="I6" i="27" s="1"/>
  <c r="H6" i="26"/>
  <c r="H6" i="25"/>
  <c r="I6" i="25" s="1"/>
  <c r="H6" i="24"/>
  <c r="I6" i="24" s="1"/>
  <c r="H13" i="23"/>
  <c r="I13" i="23" s="1"/>
  <c r="H12" i="23"/>
  <c r="I12" i="23" s="1"/>
  <c r="H11" i="23"/>
  <c r="I11" i="23" s="1"/>
  <c r="H10" i="23"/>
  <c r="I10" i="23" s="1"/>
  <c r="H9" i="23"/>
  <c r="I9" i="23" s="1"/>
  <c r="H8" i="23"/>
  <c r="I8" i="23" s="1"/>
  <c r="H7" i="23"/>
  <c r="I7" i="23" s="1"/>
  <c r="H6" i="23"/>
  <c r="I6" i="23" s="1"/>
  <c r="H10" i="22"/>
  <c r="I10" i="22" s="1"/>
  <c r="H9" i="22"/>
  <c r="I9" i="22" s="1"/>
  <c r="H8" i="22"/>
  <c r="I8" i="22" s="1"/>
  <c r="H7" i="22"/>
  <c r="H6" i="22"/>
  <c r="I6" i="22" s="1"/>
  <c r="H10" i="20"/>
  <c r="H9" i="20"/>
  <c r="H8" i="20"/>
  <c r="I8" i="20" s="1"/>
  <c r="H7" i="20"/>
  <c r="H6" i="20"/>
  <c r="I6" i="20" s="1"/>
  <c r="H26" i="21"/>
  <c r="H25" i="21"/>
  <c r="H24" i="21"/>
  <c r="I24" i="21" s="1"/>
  <c r="H23" i="21"/>
  <c r="H22" i="21"/>
  <c r="I22" i="21" s="1"/>
  <c r="H21" i="21"/>
  <c r="H20" i="21"/>
  <c r="I20" i="21" s="1"/>
  <c r="H19" i="21"/>
  <c r="H18" i="21"/>
  <c r="I18" i="21" s="1"/>
  <c r="H17" i="21"/>
  <c r="H16" i="21"/>
  <c r="I16" i="21" s="1"/>
  <c r="H15" i="21"/>
  <c r="H14" i="21"/>
  <c r="I14" i="21" s="1"/>
  <c r="H13" i="21"/>
  <c r="H12" i="21"/>
  <c r="I12" i="21" s="1"/>
  <c r="H11" i="21"/>
  <c r="H10" i="21"/>
  <c r="H9" i="21"/>
  <c r="H8" i="21"/>
  <c r="I8" i="21" s="1"/>
  <c r="H7" i="21"/>
  <c r="H6" i="21"/>
  <c r="G29" i="21" s="1"/>
  <c r="H10" i="19"/>
  <c r="I10" i="19" s="1"/>
  <c r="H9" i="19"/>
  <c r="I9" i="19" s="1"/>
  <c r="H8" i="19"/>
  <c r="I8" i="19" s="1"/>
  <c r="H7" i="19"/>
  <c r="H6" i="19"/>
  <c r="I6" i="19" s="1"/>
  <c r="H7" i="18"/>
  <c r="I7" i="18" s="1"/>
  <c r="H6" i="18"/>
  <c r="I6" i="18" s="1"/>
  <c r="J12" i="29" l="1"/>
  <c r="I12" i="29"/>
  <c r="I6" i="28"/>
  <c r="J6" i="29"/>
  <c r="I7" i="29"/>
  <c r="J7" i="29" s="1"/>
  <c r="J8" i="29"/>
  <c r="I9" i="29"/>
  <c r="J9" i="29" s="1"/>
  <c r="J10" i="29"/>
  <c r="I11" i="29"/>
  <c r="J11" i="29" s="1"/>
  <c r="I13" i="29"/>
  <c r="J13" i="29" s="1"/>
  <c r="J14" i="29"/>
  <c r="I15" i="29"/>
  <c r="J15" i="29" s="1"/>
  <c r="G18" i="29"/>
  <c r="J7" i="28"/>
  <c r="J6" i="28"/>
  <c r="I20" i="27"/>
  <c r="J20" i="27" s="1"/>
  <c r="J24" i="27"/>
  <c r="J32" i="27"/>
  <c r="I18" i="27"/>
  <c r="J18" i="27" s="1"/>
  <c r="I22" i="27"/>
  <c r="J22" i="27" s="1"/>
  <c r="I26" i="27"/>
  <c r="J26" i="27" s="1"/>
  <c r="J28" i="27"/>
  <c r="I30" i="27"/>
  <c r="J30" i="27" s="1"/>
  <c r="I36" i="27"/>
  <c r="J36" i="27" s="1"/>
  <c r="J6" i="27"/>
  <c r="I7" i="27"/>
  <c r="J7" i="27" s="1"/>
  <c r="J8" i="27"/>
  <c r="I9" i="27"/>
  <c r="J9" i="27" s="1"/>
  <c r="J10" i="27"/>
  <c r="I11" i="27"/>
  <c r="J11" i="27" s="1"/>
  <c r="J12" i="27"/>
  <c r="I13" i="27"/>
  <c r="J13" i="27" s="1"/>
  <c r="J14" i="27"/>
  <c r="I15" i="27"/>
  <c r="J15" i="27" s="1"/>
  <c r="J16" i="27"/>
  <c r="I17" i="27"/>
  <c r="J17" i="27" s="1"/>
  <c r="I19" i="27"/>
  <c r="J19" i="27" s="1"/>
  <c r="I21" i="27"/>
  <c r="J21" i="27" s="1"/>
  <c r="I23" i="27"/>
  <c r="J23" i="27" s="1"/>
  <c r="I25" i="27"/>
  <c r="J25" i="27" s="1"/>
  <c r="I27" i="27"/>
  <c r="J27" i="27" s="1"/>
  <c r="I29" i="27"/>
  <c r="J29" i="27" s="1"/>
  <c r="I31" i="27"/>
  <c r="J31" i="27" s="1"/>
  <c r="I33" i="27"/>
  <c r="J33" i="27" s="1"/>
  <c r="J34" i="27"/>
  <c r="I35" i="27"/>
  <c r="J35" i="27" s="1"/>
  <c r="I37" i="27"/>
  <c r="J37" i="27" s="1"/>
  <c r="G49" i="27"/>
  <c r="I6" i="26"/>
  <c r="J6" i="26" s="1"/>
  <c r="J9" i="26" s="1"/>
  <c r="G9" i="26"/>
  <c r="J6" i="25"/>
  <c r="G9" i="25"/>
  <c r="J6" i="24"/>
  <c r="G9" i="24"/>
  <c r="J7" i="23"/>
  <c r="J9" i="23"/>
  <c r="J12" i="23"/>
  <c r="J6" i="23"/>
  <c r="J8" i="23"/>
  <c r="J10" i="23"/>
  <c r="J11" i="23"/>
  <c r="J13" i="23"/>
  <c r="G16" i="23"/>
  <c r="J9" i="22"/>
  <c r="I7" i="22"/>
  <c r="J7" i="22" s="1"/>
  <c r="J18" i="21"/>
  <c r="J6" i="22"/>
  <c r="J8" i="22"/>
  <c r="J10" i="22"/>
  <c r="G13" i="22"/>
  <c r="J22" i="21"/>
  <c r="I6" i="21"/>
  <c r="J8" i="21"/>
  <c r="I10" i="21"/>
  <c r="J10" i="21" s="1"/>
  <c r="J14" i="21"/>
  <c r="J20" i="21"/>
  <c r="J24" i="21"/>
  <c r="I26" i="21"/>
  <c r="J26" i="21" s="1"/>
  <c r="J8" i="20"/>
  <c r="I10" i="20"/>
  <c r="J10" i="20" s="1"/>
  <c r="J6" i="20"/>
  <c r="I7" i="20"/>
  <c r="J7" i="20" s="1"/>
  <c r="I9" i="20"/>
  <c r="J9" i="20" s="1"/>
  <c r="G13" i="20"/>
  <c r="J6" i="21"/>
  <c r="I7" i="21"/>
  <c r="J7" i="21" s="1"/>
  <c r="I9" i="21"/>
  <c r="J9" i="21" s="1"/>
  <c r="I11" i="21"/>
  <c r="J11" i="21" s="1"/>
  <c r="J12" i="21"/>
  <c r="I13" i="21"/>
  <c r="J13" i="21" s="1"/>
  <c r="I15" i="21"/>
  <c r="J15" i="21" s="1"/>
  <c r="J16" i="21"/>
  <c r="I17" i="21"/>
  <c r="J17" i="21" s="1"/>
  <c r="I19" i="21"/>
  <c r="J19" i="21" s="1"/>
  <c r="I21" i="21"/>
  <c r="J21" i="21" s="1"/>
  <c r="I23" i="21"/>
  <c r="J23" i="21" s="1"/>
  <c r="I25" i="21"/>
  <c r="J25" i="21" s="1"/>
  <c r="J9" i="19"/>
  <c r="I7" i="19"/>
  <c r="J7" i="19" s="1"/>
  <c r="J6" i="19"/>
  <c r="J8" i="19"/>
  <c r="J10" i="19"/>
  <c r="G13" i="19"/>
  <c r="J7" i="18"/>
  <c r="J6" i="18"/>
  <c r="G10" i="18"/>
  <c r="H7" i="17"/>
  <c r="H6" i="17"/>
  <c r="I6" i="17" s="1"/>
  <c r="H6" i="16"/>
  <c r="I6" i="16" s="1"/>
  <c r="H9" i="14"/>
  <c r="H8" i="14"/>
  <c r="I8" i="14" s="1"/>
  <c r="H7" i="14"/>
  <c r="I7" i="14" s="1"/>
  <c r="H6" i="14"/>
  <c r="G12" i="14" s="1"/>
  <c r="H7" i="15"/>
  <c r="H6" i="15"/>
  <c r="I6" i="15" s="1"/>
  <c r="H8" i="13"/>
  <c r="I8" i="13" s="1"/>
  <c r="H7" i="13"/>
  <c r="I7" i="13" s="1"/>
  <c r="H6" i="13"/>
  <c r="I6" i="13" s="1"/>
  <c r="H9" i="12"/>
  <c r="H8" i="12"/>
  <c r="I8" i="12" s="1"/>
  <c r="H7" i="12"/>
  <c r="H6" i="12"/>
  <c r="G12" i="12" s="1"/>
  <c r="H9" i="11"/>
  <c r="H8" i="11"/>
  <c r="I8" i="11" s="1"/>
  <c r="H7" i="11"/>
  <c r="H6" i="11"/>
  <c r="I6" i="11" s="1"/>
  <c r="H6" i="10"/>
  <c r="I6" i="10" s="1"/>
  <c r="H7" i="9"/>
  <c r="H6" i="9"/>
  <c r="I6" i="9" s="1"/>
  <c r="H12" i="8"/>
  <c r="I12" i="8" s="1"/>
  <c r="J12" i="8" s="1"/>
  <c r="H11" i="8"/>
  <c r="I11" i="8" s="1"/>
  <c r="H10" i="8"/>
  <c r="I10" i="8" s="1"/>
  <c r="H9" i="8"/>
  <c r="H8" i="8"/>
  <c r="I8" i="8" s="1"/>
  <c r="H7" i="8"/>
  <c r="I7" i="8" s="1"/>
  <c r="H6" i="8"/>
  <c r="I6" i="8" s="1"/>
  <c r="H9" i="7"/>
  <c r="H8" i="7"/>
  <c r="I8" i="7" s="1"/>
  <c r="H7" i="7"/>
  <c r="H6" i="7"/>
  <c r="I6" i="7" s="1"/>
  <c r="H6" i="6"/>
  <c r="G9" i="6" s="1"/>
  <c r="J18" i="29" l="1"/>
  <c r="J10" i="28"/>
  <c r="J49" i="27"/>
  <c r="J9" i="25"/>
  <c r="J9" i="24"/>
  <c r="J16" i="23"/>
  <c r="J13" i="22"/>
  <c r="J13" i="20"/>
  <c r="J29" i="21"/>
  <c r="J13" i="19"/>
  <c r="J10" i="18"/>
  <c r="J6" i="17"/>
  <c r="I7" i="17"/>
  <c r="J7" i="17" s="1"/>
  <c r="G10" i="17"/>
  <c r="J6" i="16"/>
  <c r="G9" i="16"/>
  <c r="I6" i="14"/>
  <c r="J8" i="14"/>
  <c r="J7" i="14"/>
  <c r="J6" i="14"/>
  <c r="I9" i="14"/>
  <c r="J9" i="14" s="1"/>
  <c r="J6" i="15"/>
  <c r="I7" i="15"/>
  <c r="J7" i="15" s="1"/>
  <c r="G10" i="15"/>
  <c r="J7" i="13"/>
  <c r="J6" i="13"/>
  <c r="J8" i="13"/>
  <c r="G11" i="13"/>
  <c r="I6" i="12"/>
  <c r="J8" i="12"/>
  <c r="J6" i="12"/>
  <c r="I7" i="12"/>
  <c r="J7" i="12" s="1"/>
  <c r="I9" i="12"/>
  <c r="J9" i="12" s="1"/>
  <c r="J6" i="11"/>
  <c r="I7" i="11"/>
  <c r="J7" i="11" s="1"/>
  <c r="J8" i="11"/>
  <c r="I9" i="11"/>
  <c r="J9" i="11" s="1"/>
  <c r="G12" i="11"/>
  <c r="J6" i="10"/>
  <c r="G9" i="10"/>
  <c r="J6" i="9"/>
  <c r="I7" i="9"/>
  <c r="J7" i="9" s="1"/>
  <c r="G10" i="9"/>
  <c r="J11" i="8"/>
  <c r="I9" i="8"/>
  <c r="J9" i="8" s="1"/>
  <c r="J7" i="8"/>
  <c r="J6" i="8"/>
  <c r="J8" i="8"/>
  <c r="J10" i="8"/>
  <c r="G15" i="8"/>
  <c r="I7" i="7"/>
  <c r="J7" i="7" s="1"/>
  <c r="J6" i="7"/>
  <c r="J8" i="7"/>
  <c r="I9" i="7"/>
  <c r="J9" i="7" s="1"/>
  <c r="G12" i="7"/>
  <c r="I6" i="6"/>
  <c r="J6" i="6" s="1"/>
  <c r="J9" i="6" s="1"/>
  <c r="H7" i="5"/>
  <c r="H6" i="5"/>
  <c r="I6" i="5" s="1"/>
  <c r="H6" i="4"/>
  <c r="G9" i="4" s="1"/>
  <c r="H6" i="3"/>
  <c r="I6" i="3" s="1"/>
  <c r="H7" i="2"/>
  <c r="H6" i="2"/>
  <c r="I6" i="2" s="1"/>
  <c r="J10" i="17" l="1"/>
  <c r="J9" i="16"/>
  <c r="J12" i="14"/>
  <c r="J10" i="15"/>
  <c r="J11" i="13"/>
  <c r="J12" i="12"/>
  <c r="J12" i="11"/>
  <c r="J9" i="10"/>
  <c r="J10" i="9"/>
  <c r="J15" i="8"/>
  <c r="J12" i="7"/>
  <c r="J6" i="5"/>
  <c r="I7" i="5"/>
  <c r="J7" i="5" s="1"/>
  <c r="G10" i="5"/>
  <c r="I6" i="4"/>
  <c r="J6" i="4" s="1"/>
  <c r="J9" i="4" s="1"/>
  <c r="J6" i="3"/>
  <c r="G9" i="3"/>
  <c r="I7" i="2"/>
  <c r="J7" i="2" s="1"/>
  <c r="J6" i="2"/>
  <c r="G10" i="2"/>
  <c r="J10" i="5" l="1"/>
  <c r="J9" i="3"/>
  <c r="J10" i="2"/>
</calcChain>
</file>

<file path=xl/sharedStrings.xml><?xml version="1.0" encoding="utf-8"?>
<sst xmlns="http://schemas.openxmlformats.org/spreadsheetml/2006/main" count="1065" uniqueCount="322">
  <si>
    <t>Количина</t>
  </si>
  <si>
    <t>Цена по ЈМ без ПДВ – а</t>
  </si>
  <si>
    <t>Укупно ПДВ</t>
  </si>
  <si>
    <t>Произвођач</t>
  </si>
  <si>
    <t>ком</t>
  </si>
  <si>
    <t>Р. бр.</t>
  </si>
  <si>
    <t>Назив артикла</t>
  </si>
  <si>
    <t>Опис артикла</t>
  </si>
  <si>
    <t>ЈМ</t>
  </si>
  <si>
    <t>Стопа ПДВ - а</t>
  </si>
  <si>
    <t>Укупна цена без ПДВ - а</t>
  </si>
  <si>
    <t>Укупна цена са ПДВ - ом</t>
  </si>
  <si>
    <t>Комерционални назив</t>
  </si>
  <si>
    <t xml:space="preserve">ПАРТИЈА </t>
  </si>
  <si>
    <t>ЦЕНА УКУПНО ЗА ПАРТИЈУ:</t>
  </si>
  <si>
    <t xml:space="preserve">Без ПДВ - а </t>
  </si>
  <si>
    <t>Са ПДВ - ом</t>
  </si>
  <si>
    <t>М.П.</t>
  </si>
  <si>
    <t>Потпис овлашћеног лица</t>
  </si>
  <si>
    <t>Хлеб - бели</t>
  </si>
  <si>
    <t>1 - ХЛЕБ</t>
  </si>
  <si>
    <t>Тежине 500 гр, растресите структуре, да се лако нарезује</t>
  </si>
  <si>
    <t>Хлеб - црни</t>
  </si>
  <si>
    <t>Тежине 500 гр, од необојеног брашна</t>
  </si>
  <si>
    <r>
      <t>*Напомена:</t>
    </r>
    <r>
      <rPr>
        <b/>
        <i/>
        <sz val="12"/>
        <color theme="1"/>
        <rFont val="Calibri"/>
        <family val="2"/>
        <scheme val="minor"/>
      </rPr>
      <t xml:space="preserve"> </t>
    </r>
  </si>
  <si>
    <t xml:space="preserve">Обавезна испорука сваког јутра до 06:00 часова </t>
  </si>
  <si>
    <t>2 - ПЕКАРСКИ ПРОИЗВОДИ СВЕЖИ</t>
  </si>
  <si>
    <t>Пуж</t>
  </si>
  <si>
    <t>Пециво направљено од лиснатог теста са додатком сира тежине 100 гр.</t>
  </si>
  <si>
    <t>Испорука од 14:00 - 16:00 часова</t>
  </si>
  <si>
    <t xml:space="preserve">3 - КОРЕ </t>
  </si>
  <si>
    <t>Коре</t>
  </si>
  <si>
    <t>За питу и гибаницу, растресите, да нису ломљиве и лепљиве</t>
  </si>
  <si>
    <t>кг</t>
  </si>
  <si>
    <t>4 - СМРЗНУТА ТЕСТА</t>
  </si>
  <si>
    <t>Тесто - слатко</t>
  </si>
  <si>
    <t>Тесто - слано</t>
  </si>
  <si>
    <t>Смрзнуто лиснато тесто са додатком воћа, ораха, мака</t>
  </si>
  <si>
    <t>Смрзнуто лиснато тесто са додатком сира, меса, печурака</t>
  </si>
  <si>
    <t>5 - МЛЕКО</t>
  </si>
  <si>
    <t>Млеко</t>
  </si>
  <si>
    <t>Краткотрајно пастеризовано, пак 1/1 лит, полипак, најлон са минимум 2,8% млечне масти</t>
  </si>
  <si>
    <t>Лит</t>
  </si>
  <si>
    <t>Испоука, сваког јутра до 05:00 часва, обавезно доставити потврду о здравственој исправности приликом сваке испоруке</t>
  </si>
  <si>
    <t>6 - МЛЕЧНИ ПРОИЗВОДИ КРАТКОТРАЈНИ</t>
  </si>
  <si>
    <t>Кисело млеко</t>
  </si>
  <si>
    <t>Паковање ПВЦ чаша 180 мл, масноће 2,8%</t>
  </si>
  <si>
    <t>Кисела павлака</t>
  </si>
  <si>
    <t>Паковање ПВЦ чаша 180 мл, масноће 20%</t>
  </si>
  <si>
    <t>Јогурт</t>
  </si>
  <si>
    <t>Јогурт - воћни</t>
  </si>
  <si>
    <t>Паковање ПВЦ чаша 180 мл, Ароматизовани јогурт, са додатком разних врста воћа</t>
  </si>
  <si>
    <t>7 - МЛЕЧНИ ПРОИЗВОДИ ДУГОТРАЈНИ</t>
  </si>
  <si>
    <t>Сир - фета</t>
  </si>
  <si>
    <t xml:space="preserve">Уз сваку испоруку потребно је доставити потврду о здравственој исправности.За ставку 1. и ставку 3. обавезна испорука до 05:00 часова.  </t>
  </si>
  <si>
    <t>лит</t>
  </si>
  <si>
    <t>Сир - качкаваљ</t>
  </si>
  <si>
    <t>Полутврди, полумасни крављи сир са 45% млечне масти</t>
  </si>
  <si>
    <t>Сир - крем</t>
  </si>
  <si>
    <t xml:space="preserve">Свеж бели пуномасни крављи сир са 45% млечне масти паковање од 7 - 10 кг, </t>
  </si>
  <si>
    <t>Крављи сирни намаз , лако мазивне структуре, паковање 100 гр, масноће 45%</t>
  </si>
  <si>
    <t>Сир - топљени</t>
  </si>
  <si>
    <t>Крављи сирни намаз , лако мазивне структуре, паковање 1/6 кг, масноће 33%</t>
  </si>
  <si>
    <t>Сир - млади</t>
  </si>
  <si>
    <t xml:space="preserve">Свеж бели крављи сир са 25% млечне масти паковање            од 5 - 10 кг, </t>
  </si>
  <si>
    <t>Маслац</t>
  </si>
  <si>
    <t>Паковање 20 гр</t>
  </si>
  <si>
    <t>Сурутка</t>
  </si>
  <si>
    <t>Прах, паковање 250 гр</t>
  </si>
  <si>
    <t>Уз сваку испоруку обавезно доставити потврду о здравственој исправности</t>
  </si>
  <si>
    <t>8 - МЕСО ГОВЕЂЕ</t>
  </si>
  <si>
    <t>Месо бута у комаду, без кости, очишћено од масног и везивног ткива I категорије</t>
  </si>
  <si>
    <t>Месо - телетина</t>
  </si>
  <si>
    <t>Месо - јунетина</t>
  </si>
  <si>
    <t>9 - МЕСО ЈАГЊЕЋЕ</t>
  </si>
  <si>
    <t>Месо - јагњетина</t>
  </si>
  <si>
    <t>Цели јагањци у комаду, уређени и очишћени, младо месо I категорије</t>
  </si>
  <si>
    <t>10 - МЕСО СВИЊСКО</t>
  </si>
  <si>
    <t>Цели прасићи уређеи, очишћени, тежине 20 - 30 кг</t>
  </si>
  <si>
    <t>Месо - прасетина</t>
  </si>
  <si>
    <t>Месо - свињетина</t>
  </si>
  <si>
    <t>Месо плећке без кости, очишћено од масног и веезивног ткива I категорије</t>
  </si>
  <si>
    <t>Свињски каре I категорија</t>
  </si>
  <si>
    <t>Шунка</t>
  </si>
  <si>
    <t xml:space="preserve">Пакована у цреву, пастеризована од свињског меса у комадима Iкатегорије </t>
  </si>
  <si>
    <t>Печеница</t>
  </si>
  <si>
    <t>Димљена, од свињског меса I категорије</t>
  </si>
  <si>
    <t>Ребра</t>
  </si>
  <si>
    <t>Свињска, месната, димљена I категорије</t>
  </si>
  <si>
    <t>Суви врат</t>
  </si>
  <si>
    <t>Свињски I категорије</t>
  </si>
  <si>
    <t>11 - ПРЕРАЂЕВИНЕ ОД СВИЊСКОГ МЕСА</t>
  </si>
  <si>
    <t>12 - МЕСО ЖИВИНЕ</t>
  </si>
  <si>
    <t>Пилећи батаци и карабатаци I категорије</t>
  </si>
  <si>
    <t>Месо - пилетина</t>
  </si>
  <si>
    <t>Бело месо пилета I категорија</t>
  </si>
  <si>
    <t>Месо - ћуретина</t>
  </si>
  <si>
    <t>Бело месо ћурке I категорије</t>
  </si>
  <si>
    <t>13 - ПРЕРАЂЕВИНЕ ОД ПИЛЕЋЕГ МЕСА</t>
  </si>
  <si>
    <t>Паризер</t>
  </si>
  <si>
    <t>Од пилећег меса, паковање 2/1 кг, у омотачу који се лако скида, паризер да буде компактан и да се приликом сечења не распада</t>
  </si>
  <si>
    <t>Виршле</t>
  </si>
  <si>
    <t>Паковање вакум, 1 кг, фино уситњена барена кобасица од пилећег меса, пакована у вештачке омотаче</t>
  </si>
  <si>
    <t>Пилећа прса</t>
  </si>
  <si>
    <t>Од пилећег меса, паковање 2/1 кг, у омотачу који се лако скида, са наглашеним парчадима бареног пилећег меса (пилећих груди)</t>
  </si>
  <si>
    <t>Паштета</t>
  </si>
  <si>
    <t>Од пилећег меса, паковање 50 гр, фино уситњена кобасица у стерилисаној конзерви, лако мазивне структуре</t>
  </si>
  <si>
    <t>14 МАРГАРИН</t>
  </si>
  <si>
    <t xml:space="preserve">Маргарин </t>
  </si>
  <si>
    <t>Маргарин стони, паковање 250 гр</t>
  </si>
  <si>
    <t>Маргарин стони, паковање     20 гр</t>
  </si>
  <si>
    <t>15 МАЈОНЕЗ</t>
  </si>
  <si>
    <t xml:space="preserve">Мајонез </t>
  </si>
  <si>
    <t>Мајонез паковање 1 кг</t>
  </si>
  <si>
    <t>16 РИБА СМРЗНУТА</t>
  </si>
  <si>
    <t>Риба - пастрмка</t>
  </si>
  <si>
    <t>Риба - ослић хоки</t>
  </si>
  <si>
    <t>Паковање 15/1 кг, смрзнута риба, без главе и репа</t>
  </si>
  <si>
    <t>Паковање 10/1 кг, смрзнута риба, очишћена у комаду тежине око 250 гр</t>
  </si>
  <si>
    <t>17 - РИБА КОНЗЕРВИСАНА</t>
  </si>
  <si>
    <t>Сардина у конзерви</t>
  </si>
  <si>
    <t>Риба - сардина</t>
  </si>
  <si>
    <t>Риба - туњевина</t>
  </si>
  <si>
    <t>Парчићи туњевине у сопственом уљу</t>
  </si>
  <si>
    <t>ДОМАЋЕ</t>
  </si>
  <si>
    <t>Јабука</t>
  </si>
  <si>
    <t>Крушка</t>
  </si>
  <si>
    <t>Грожђе</t>
  </si>
  <si>
    <t>Кајсија</t>
  </si>
  <si>
    <t>Орах</t>
  </si>
  <si>
    <t>Киселе јабуке I класа</t>
  </si>
  <si>
    <t>I класа</t>
  </si>
  <si>
    <t>Језгро ораха I класа</t>
  </si>
  <si>
    <t>19 ВОЋЕ СВЕЖЕ - ЈУЖНО</t>
  </si>
  <si>
    <t>18 - ВОЋЕ СВЕЖЕ - ДОМАЋЕ</t>
  </si>
  <si>
    <t>Лимун</t>
  </si>
  <si>
    <t>Банана</t>
  </si>
  <si>
    <t>Поморанџа</t>
  </si>
  <si>
    <t>Мандарина</t>
  </si>
  <si>
    <t>Киви</t>
  </si>
  <si>
    <t>20 - ПОВРЋЕ СВЕЖЕ</t>
  </si>
  <si>
    <t>Шаргарепа</t>
  </si>
  <si>
    <t>Купус</t>
  </si>
  <si>
    <t>Кромпир</t>
  </si>
  <si>
    <t>Лук - црни</t>
  </si>
  <si>
    <t>Лук - бели</t>
  </si>
  <si>
    <t>Краставац</t>
  </si>
  <si>
    <t>Парадајз</t>
  </si>
  <si>
    <t>Паприка - бабура</t>
  </si>
  <si>
    <t>Цвекла</t>
  </si>
  <si>
    <t>Першун</t>
  </si>
  <si>
    <t>Зелена салата</t>
  </si>
  <si>
    <t>Ротквице</t>
  </si>
  <si>
    <t>Целер</t>
  </si>
  <si>
    <t>Пасуљ - тетовац</t>
  </si>
  <si>
    <t>Празилук</t>
  </si>
  <si>
    <t>Тиквице</t>
  </si>
  <si>
    <t>Блитва</t>
  </si>
  <si>
    <t>Прокељ</t>
  </si>
  <si>
    <t>Брокули</t>
  </si>
  <si>
    <t>Парадајз - чери</t>
  </si>
  <si>
    <t>Печуке - шампињони</t>
  </si>
  <si>
    <t>Веза I класа</t>
  </si>
  <si>
    <t>Свеже I класа</t>
  </si>
  <si>
    <t>Главица I класа</t>
  </si>
  <si>
    <t>21 - ПОВРЋЕ СМРЗНУТО</t>
  </si>
  <si>
    <t xml:space="preserve">Боранија </t>
  </si>
  <si>
    <t>Грашак</t>
  </si>
  <si>
    <t>Карфиол</t>
  </si>
  <si>
    <t>Спанаћ</t>
  </si>
  <si>
    <t>Смрзнута, зелена без петељака ринфуз, паковање 10/1 кг</t>
  </si>
  <si>
    <t>Смрзнут, млад, ринфуз, паковање 10/1 кг</t>
  </si>
  <si>
    <t>Смрзнути плодови, цео цвет беле боје, без жутих цветова, ринфуз</t>
  </si>
  <si>
    <t>Смрзнут, у плочама око 1 кг, светло зелене боје, ринфуз</t>
  </si>
  <si>
    <t>Смрзнута, исечена на коцкице, ринфуз</t>
  </si>
  <si>
    <t>22 - ПОВРЋЕ И ВОЋЕ КОНЗЕРВИРАНО</t>
  </si>
  <si>
    <t>Паприка</t>
  </si>
  <si>
    <t>Печурка</t>
  </si>
  <si>
    <t>Ђувеч</t>
  </si>
  <si>
    <t>Компот - шљива</t>
  </si>
  <si>
    <t>Компот - кајсија</t>
  </si>
  <si>
    <t>Маслина</t>
  </si>
  <si>
    <t>Концентрат, паковање 5/1 кг</t>
  </si>
  <si>
    <t>Плодови средње величине, паковање 5/1</t>
  </si>
  <si>
    <t>Филети паприке, паковање 5/1</t>
  </si>
  <si>
    <t>Цели плодови, паковање тегле 750 гр</t>
  </si>
  <si>
    <t>Паковање 5/1 кг</t>
  </si>
  <si>
    <t>Пикантна маса са наглашеним поврћем без петељки, паковање 5/1 кг</t>
  </si>
  <si>
    <t>Тегла/конзерва, паковање 1 кг</t>
  </si>
  <si>
    <t>Конзерве/тегле у којима је пакован тражени артикал, морају бити целе, не оштећене, не улубљене, са означеним датумом паковања, роком употребе и декларацијом</t>
  </si>
  <si>
    <t>23 - ВОЋЕ СМРЗНУТО</t>
  </si>
  <si>
    <t>Вишња</t>
  </si>
  <si>
    <t>24 - КУПУС КИСЕЛИ</t>
  </si>
  <si>
    <t>Купус - кисели</t>
  </si>
  <si>
    <t>Главица средње величине 1,5 - 3 кг, Паковање вакум</t>
  </si>
  <si>
    <t>25 - ЈАЈА</t>
  </si>
  <si>
    <t>Јаја</t>
  </si>
  <si>
    <t>Кокошија, "S" класа</t>
  </si>
  <si>
    <t>26 КОЛОНИЈАЛНА РОБА</t>
  </si>
  <si>
    <t>Уље</t>
  </si>
  <si>
    <t>Кекс</t>
  </si>
  <si>
    <t>Ринфуз</t>
  </si>
  <si>
    <t>Шећер</t>
  </si>
  <si>
    <t>Шећер - прах</t>
  </si>
  <si>
    <t>Шећер - ванилин</t>
  </si>
  <si>
    <t>Прашак за пециво</t>
  </si>
  <si>
    <t>Сода бикарбона</t>
  </si>
  <si>
    <t>Бибер</t>
  </si>
  <si>
    <t>Кечап</t>
  </si>
  <si>
    <t>Сирће</t>
  </si>
  <si>
    <t>Зачин за јело</t>
  </si>
  <si>
    <t>Со</t>
  </si>
  <si>
    <t>Сенф</t>
  </si>
  <si>
    <t>Паприка алева</t>
  </si>
  <si>
    <t>Коцка за супу</t>
  </si>
  <si>
    <t>Пудинг</t>
  </si>
  <si>
    <t>Пире кромпир - прах</t>
  </si>
  <si>
    <t>Квасац свеж</t>
  </si>
  <si>
    <t>Брашно</t>
  </si>
  <si>
    <t>Гриз - кукурузни</t>
  </si>
  <si>
    <t>Гриз - пшенични</t>
  </si>
  <si>
    <t>Мармелада - мешана</t>
  </si>
  <si>
    <t>Мармелада</t>
  </si>
  <si>
    <t>Мед</t>
  </si>
  <si>
    <t>Пиринач</t>
  </si>
  <si>
    <t>Тестенина</t>
  </si>
  <si>
    <t>Суво грожђе</t>
  </si>
  <si>
    <t>Соја - љуспице</t>
  </si>
  <si>
    <t>Соја - комади</t>
  </si>
  <si>
    <t>Ловор - лист</t>
  </si>
  <si>
    <t>Чоколада - за кување</t>
  </si>
  <si>
    <t>Чај - ува</t>
  </si>
  <si>
    <t>Чај - нана</t>
  </si>
  <si>
    <t>Чај - камилица</t>
  </si>
  <si>
    <t>Чај - шипак</t>
  </si>
  <si>
    <t>Чај - хибискус</t>
  </si>
  <si>
    <t>Чај - индијски</t>
  </si>
  <si>
    <t>Шлаг</t>
  </si>
  <si>
    <t>Какао - прах</t>
  </si>
  <si>
    <t>Сунцокретово, рафинисано, паковање 1/1 лит</t>
  </si>
  <si>
    <t>Кристал, у оригиналном паковању 1/1 кг</t>
  </si>
  <si>
    <t>Паковање 250 гр</t>
  </si>
  <si>
    <t>Паковање 10 гр</t>
  </si>
  <si>
    <t>Млевени, паковање 10 гр</t>
  </si>
  <si>
    <t>Паковање 1 кг, благог укуса, да није љут</t>
  </si>
  <si>
    <t>Паковање 1/1 лит</t>
  </si>
  <si>
    <t>Паковање 1/1 кг</t>
  </si>
  <si>
    <t>Слатка, паковање 100 гр</t>
  </si>
  <si>
    <t>Јунећа, кокошија</t>
  </si>
  <si>
    <t>Паковање 40 гр, разни укуси</t>
  </si>
  <si>
    <t>Наменско паковање 1/1 кг</t>
  </si>
  <si>
    <t>Од кукурузног брашна, у ригиналном паковању, паковање 1/1 кг</t>
  </si>
  <si>
    <t>Од пшеничног брашна, у ригиналном паковању, паковање 1/1 кг</t>
  </si>
  <si>
    <t>Паковање 3/1 кг</t>
  </si>
  <si>
    <t>Паковање 50 гр</t>
  </si>
  <si>
    <t>Паковање 30 гр</t>
  </si>
  <si>
    <t>Класа "А", оригинално паковање 1/1 кг</t>
  </si>
  <si>
    <t>Гркљанчићи, са јајима паковање 500 гр</t>
  </si>
  <si>
    <t>За супу, са јајима, паковање 500 гр</t>
  </si>
  <si>
    <t>"А" класа, паковање 1/1 кг</t>
  </si>
  <si>
    <t>Минимум 70% удео какаа, паковање 200 гр</t>
  </si>
  <si>
    <t>Паковање, кесица 100 гр</t>
  </si>
  <si>
    <t>Филтер врећице 1/20 ком</t>
  </si>
  <si>
    <t xml:space="preserve">Паковање 40 гр </t>
  </si>
  <si>
    <t>Паковање 100 гр</t>
  </si>
  <si>
    <t>Сви производи морају имати означен датум паковања, и рок употребе. Приликом испоруке потребно је доставити и потврду о здравственој исправности</t>
  </si>
  <si>
    <t>27 - КАФА</t>
  </si>
  <si>
    <t>Кафа</t>
  </si>
  <si>
    <t>Кафа - нес</t>
  </si>
  <si>
    <t>Млевена, I квалитет, паковање 200 гр</t>
  </si>
  <si>
    <t>I квалитета, паковање 500 гр</t>
  </si>
  <si>
    <t>Сви производи морају имати означен датум паковања, и рок употребе</t>
  </si>
  <si>
    <t>28 - СОКОВИ</t>
  </si>
  <si>
    <t>Негазирани, бистри, са укусом јабуке, паковање тетрапак 1/1 лит</t>
  </si>
  <si>
    <t>Негазирани, са укусом поморанџе, паковање тетрапак 1/1 лит</t>
  </si>
  <si>
    <t>Негазирани, бисрти са укусом боровнице, паковање тетрапак 1/1 лит</t>
  </si>
  <si>
    <t>Сок - јабука</t>
  </si>
  <si>
    <t>Сок - поморанџа</t>
  </si>
  <si>
    <t>Сок - боровница</t>
  </si>
  <si>
    <t>Сок - бресква</t>
  </si>
  <si>
    <t>Сок - кајсија</t>
  </si>
  <si>
    <t>Сок - коктел</t>
  </si>
  <si>
    <t>Негазирани, густи, са укусом брескве, паковање тетрапак 1/1 лит</t>
  </si>
  <si>
    <t>Негазирани, густи, са укусом кајсије, паковање тетрапак 1/1 лит</t>
  </si>
  <si>
    <t>Негазирани, бистри, са укусом више врста воћа, паковање тетрапак 1/1 лит</t>
  </si>
  <si>
    <t>Сок - мултивитамин</t>
  </si>
  <si>
    <t>Негазиран, мешавина више врста воћа паковање пет амбалажа 2/1 лит</t>
  </si>
  <si>
    <t xml:space="preserve">Сок </t>
  </si>
  <si>
    <t>Вода - кисела</t>
  </si>
  <si>
    <t>Газирана, паковање 1,5/1 лит</t>
  </si>
  <si>
    <t>Газирани, са укусом карамеле ("Coca Cola") паковање 2/1 лит</t>
  </si>
  <si>
    <t>Газирани, са укусом поморанџе ("Fanta") паковање 2/1 лит</t>
  </si>
  <si>
    <t xml:space="preserve">Специјална болница »СВЕТИ САВА« </t>
  </si>
  <si>
    <t>СРБ - 11000  Београд, Немањина бр.2</t>
  </si>
  <si>
    <t>тел/фах: 011/2066-800; 011/6642-014</t>
  </si>
  <si>
    <t>www.svetisava.rs</t>
  </si>
  <si>
    <t>Техничке карактеристике и образац структуре цене са задатим елементима и захтевима Наручиоца које понуђач мора да испуни</t>
  </si>
  <si>
    <t>7 ОБРАЗАЦ ПОНУДЕ</t>
  </si>
  <si>
    <r>
      <t xml:space="preserve">Понуда за јавну набавку добара - </t>
    </r>
    <r>
      <rPr>
        <b/>
        <i/>
        <sz val="14"/>
        <color theme="1"/>
        <rFont val="Calibri"/>
        <family val="2"/>
        <scheme val="minor"/>
      </rPr>
      <t>Намирнице за исхрану пацијената бр. _________</t>
    </r>
  </si>
  <si>
    <t>Назив понуђача:</t>
  </si>
  <si>
    <t>Адреса понуђача:</t>
  </si>
  <si>
    <t>Матични број понуђача</t>
  </si>
  <si>
    <t>Порески индентификациони број понуђача (ПИБ):</t>
  </si>
  <si>
    <t>Име особе за контакт:</t>
  </si>
  <si>
    <t>Електронска адреса (e - mail):</t>
  </si>
  <si>
    <t>Телефон:</t>
  </si>
  <si>
    <t>Телефакс:</t>
  </si>
  <si>
    <t>Број рачуна и назив банке:</t>
  </si>
  <si>
    <t>Лице овлашћено за потписивање Уговора:</t>
  </si>
  <si>
    <t>1) ОПШТИ ПОДАЦИ О ПОНУЂАЧУ:</t>
  </si>
  <si>
    <t>2) ПОНУДУ ПОДНОСИ:</t>
  </si>
  <si>
    <t>А) САМОСТАЛНО</t>
  </si>
  <si>
    <t>Б) СА ПОДИЗВОЂАЧЕМ</t>
  </si>
  <si>
    <t>В) КАО ЗАЈЕДНИЧКУ ПОНУДУ</t>
  </si>
  <si>
    <r>
      <rPr>
        <b/>
        <i/>
        <sz val="14"/>
        <color theme="1"/>
        <rFont val="Calibri"/>
        <family val="2"/>
        <scheme val="minor"/>
      </rPr>
      <t>Напомена:</t>
    </r>
    <r>
      <rPr>
        <i/>
        <sz val="14"/>
        <color theme="1"/>
        <rFont val="Calibri"/>
        <family val="2"/>
        <scheme val="minor"/>
      </rPr>
      <t xml:space="preserve"> Означити начин подношења понуде, и уписати податке о подизвођачу, уколико се понуда подноси са подизвођачем, односно податке о свим учесницима заједничке понуде, уколико понуду подноси група понуђача.</t>
    </r>
  </si>
  <si>
    <t>ПОДАЦИ О УЧЕСНИКУ У ЗАЈЕДНИЧКОЈ ПОНУДИ</t>
  </si>
  <si>
    <r>
      <rPr>
        <b/>
        <i/>
        <sz val="14"/>
        <color theme="1"/>
        <rFont val="Calibri"/>
        <family val="2"/>
        <scheme val="minor"/>
      </rPr>
      <t>Напомена:</t>
    </r>
    <r>
      <rPr>
        <i/>
        <sz val="14"/>
        <color theme="1"/>
        <rFont val="Calibri"/>
        <family val="2"/>
        <scheme val="minor"/>
      </rPr>
      <t xml:space="preserve"> Табелу "Подаци о учеснику у заједничкој понуди", попуњавају само они понуђачи који подносе заједничку понуду, а уколико има већи број учесника у заједничкој понуди, потребно је да се образац копира у довољном броју примерака, да се попуни и достави за сваког понуђача који је учесник у заједничкој понуди.</t>
    </r>
  </si>
  <si>
    <t>Назив учесника у заједничкој понуди:</t>
  </si>
  <si>
    <t>ПОДАЦИ О ПОДИЗВОЂАЧУ</t>
  </si>
  <si>
    <t>Назив:</t>
  </si>
  <si>
    <r>
      <rPr>
        <b/>
        <i/>
        <sz val="14"/>
        <color theme="1"/>
        <rFont val="Calibri"/>
        <family val="2"/>
        <scheme val="minor"/>
      </rPr>
      <t>Напомена:</t>
    </r>
    <r>
      <rPr>
        <i/>
        <sz val="14"/>
        <color theme="1"/>
        <rFont val="Calibri"/>
        <family val="2"/>
        <scheme val="minor"/>
      </rPr>
      <t xml:space="preserve"> Табелу "Подаци о Подизвођачу", попуњавају само они понуђачи који подносе заједничку понуду, а уколико има већи број учесника у заједничкој понуди, потребно је да се образац копира у довољном броју примерака, да се попуни и достави за сваког понуђача који је учесник у заједничкој понуди.</t>
    </r>
  </si>
  <si>
    <t>Spojiti u jednu 5, 6,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</si>
</sst>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Din.&quot;"/>
  </numFmts>
  <fonts count="29" x14ac:knownFonts="1">
    <font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i/>
      <sz val="11"/>
      <color theme="0" tint="-0.1499984740745262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2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color rgb="FF800000"/>
      <name val="Calibri"/>
      <family val="2"/>
      <charset val="238"/>
      <scheme val="minor"/>
    </font>
    <font>
      <b/>
      <i/>
      <sz val="14"/>
      <color rgb="FF800000"/>
      <name val="Calibri"/>
      <family val="2"/>
      <charset val="238"/>
      <scheme val="minor"/>
    </font>
    <font>
      <b/>
      <i/>
      <sz val="16"/>
      <color rgb="FF80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b/>
      <i/>
      <sz val="24"/>
      <color rgb="FF80000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i/>
      <sz val="12"/>
      <color theme="0" tint="-0.1499984740745262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theme="6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auto="1"/>
        <bgColor rgb="FFFFFFCC"/>
      </patternFill>
    </fill>
    <fill>
      <patternFill patternType="solid">
        <fgColor rgb="FF8000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thin">
        <color theme="6" tint="0.79998168889431442"/>
      </right>
      <top/>
      <bottom style="thin">
        <color theme="6" tint="0.79998168889431442"/>
      </bottom>
      <diagonal/>
    </border>
    <border>
      <left style="thin">
        <color theme="6" tint="0.79998168889431442"/>
      </left>
      <right style="thin">
        <color theme="6" tint="0.79998168889431442"/>
      </right>
      <top/>
      <bottom style="thin">
        <color theme="6" tint="0.79998168889431442"/>
      </bottom>
      <diagonal/>
    </border>
    <border>
      <left style="thin">
        <color theme="6" tint="0.79998168889431442"/>
      </left>
      <right/>
      <top/>
      <bottom style="thin">
        <color theme="6" tint="0.79998168889431442"/>
      </bottom>
      <diagonal/>
    </border>
    <border>
      <left/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8168889431442"/>
      </left>
      <right/>
      <top style="thin">
        <color theme="6" tint="0.79998168889431442"/>
      </top>
      <bottom style="thin">
        <color theme="6" tint="0.79998168889431442"/>
      </bottom>
      <diagonal/>
    </border>
    <border>
      <left/>
      <right style="thin">
        <color theme="6" tint="0.79998168889431442"/>
      </right>
      <top style="thin">
        <color theme="6" tint="0.79998168889431442"/>
      </top>
      <bottom/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/>
      <diagonal/>
    </border>
    <border>
      <left style="thin">
        <color theme="6" tint="0.79998168889431442"/>
      </left>
      <right/>
      <top style="thin">
        <color theme="6" tint="0.79998168889431442"/>
      </top>
      <bottom/>
      <diagonal/>
    </border>
    <border>
      <left/>
      <right style="thin">
        <color theme="6" tint="0.79998168889431442"/>
      </right>
      <top style="thin">
        <color theme="6" tint="0.79998168889431442"/>
      </top>
      <bottom style="medium">
        <color theme="1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medium">
        <color theme="1"/>
      </bottom>
      <diagonal/>
    </border>
    <border>
      <left style="thin">
        <color theme="6" tint="0.79998168889431442"/>
      </left>
      <right/>
      <top style="thin">
        <color theme="6" tint="0.79998168889431442"/>
      </top>
      <bottom style="medium">
        <color theme="1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theme="6" tint="0.79998168889431442"/>
      </right>
      <top style="thin">
        <color theme="6" tint="0.79998168889431442"/>
      </top>
      <bottom style="medium">
        <color auto="1"/>
      </bottom>
      <diagonal/>
    </border>
    <border>
      <left style="thin">
        <color theme="6" tint="0.79998168889431442"/>
      </left>
      <right/>
      <top style="thin">
        <color theme="6" tint="0.79998168889431442"/>
      </top>
      <bottom style="medium">
        <color auto="1"/>
      </bottom>
      <diagonal/>
    </border>
    <border>
      <left/>
      <right style="thin">
        <color theme="6" tint="0.79998168889431442"/>
      </right>
      <top/>
      <bottom style="medium">
        <color auto="1"/>
      </bottom>
      <diagonal/>
    </border>
    <border>
      <left style="thin">
        <color theme="6" tint="0.79998168889431442"/>
      </left>
      <right style="thin">
        <color theme="6" tint="0.79998168889431442"/>
      </right>
      <top/>
      <bottom style="medium">
        <color auto="1"/>
      </bottom>
      <diagonal/>
    </border>
    <border>
      <left style="thin">
        <color theme="6" tint="0.79998168889431442"/>
      </left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theme="6" tint="0.79998168889431442"/>
      </top>
      <bottom style="medium">
        <color auto="1"/>
      </bottom>
      <diagonal/>
    </border>
    <border>
      <left style="thin">
        <color theme="6" tint="0.79998168889431442"/>
      </left>
      <right style="thin">
        <color theme="6" tint="0.79998168889431442"/>
      </right>
      <top style="medium">
        <color auto="1"/>
      </top>
      <bottom style="thin">
        <color theme="6" tint="0.79998168889431442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5117038483843"/>
      </bottom>
      <diagonal/>
    </border>
    <border>
      <left/>
      <right/>
      <top/>
      <bottom style="thin">
        <color theme="6" tint="0.79998168889431442"/>
      </bottom>
      <diagonal/>
    </border>
    <border>
      <left style="slantDashDot">
        <color auto="1"/>
      </left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double">
        <color theme="0" tint="-0.14996795556505021"/>
      </right>
      <top style="double">
        <color auto="1"/>
      </top>
      <bottom style="medium">
        <color auto="1"/>
      </bottom>
      <diagonal/>
    </border>
    <border>
      <left/>
      <right style="double">
        <color theme="0" tint="-0.14996795556505021"/>
      </right>
      <top style="medium">
        <color auto="1"/>
      </top>
      <bottom style="medium">
        <color auto="1"/>
      </bottom>
      <diagonal/>
    </border>
    <border>
      <left/>
      <right style="double">
        <color theme="0" tint="-0.14996795556505021"/>
      </right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6" fillId="6" borderId="32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3" borderId="0" xfId="0" applyFill="1"/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5" fillId="3" borderId="0" xfId="0" applyFont="1" applyFill="1"/>
    <xf numFmtId="0" fontId="5" fillId="0" borderId="0" xfId="0" applyFont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right" vertical="center" indent="1"/>
    </xf>
    <xf numFmtId="3" fontId="6" fillId="3" borderId="7" xfId="0" applyNumberFormat="1" applyFont="1" applyFill="1" applyBorder="1" applyAlignment="1">
      <alignment horizontal="right" vertical="center" indent="1"/>
    </xf>
    <xf numFmtId="3" fontId="6" fillId="3" borderId="10" xfId="0" applyNumberFormat="1" applyFont="1" applyFill="1" applyBorder="1" applyAlignment="1">
      <alignment horizontal="right" vertical="center" indent="1"/>
    </xf>
    <xf numFmtId="3" fontId="6" fillId="3" borderId="13" xfId="0" applyNumberFormat="1" applyFont="1" applyFill="1" applyBorder="1" applyAlignment="1">
      <alignment horizontal="right" vertical="center" indent="1"/>
    </xf>
    <xf numFmtId="9" fontId="0" fillId="0" borderId="0" xfId="0" applyNumberFormat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right" vertical="center" indent="1"/>
    </xf>
    <xf numFmtId="4" fontId="2" fillId="3" borderId="4" xfId="0" applyNumberFormat="1" applyFont="1" applyFill="1" applyBorder="1" applyAlignment="1">
      <alignment horizontal="right" vertical="center" indent="1"/>
    </xf>
    <xf numFmtId="4" fontId="7" fillId="3" borderId="7" xfId="0" applyNumberFormat="1" applyFont="1" applyFill="1" applyBorder="1" applyAlignment="1">
      <alignment horizontal="right" vertical="center" indent="1"/>
    </xf>
    <xf numFmtId="4" fontId="2" fillId="3" borderId="7" xfId="0" applyNumberFormat="1" applyFont="1" applyFill="1" applyBorder="1" applyAlignment="1">
      <alignment horizontal="right" vertical="center" indent="1"/>
    </xf>
    <xf numFmtId="4" fontId="7" fillId="3" borderId="10" xfId="0" applyNumberFormat="1" applyFont="1" applyFill="1" applyBorder="1" applyAlignment="1">
      <alignment horizontal="right" vertical="center" indent="1"/>
    </xf>
    <xf numFmtId="4" fontId="2" fillId="3" borderId="10" xfId="0" applyNumberFormat="1" applyFont="1" applyFill="1" applyBorder="1" applyAlignment="1">
      <alignment horizontal="right" vertical="center" indent="1"/>
    </xf>
    <xf numFmtId="4" fontId="7" fillId="3" borderId="13" xfId="0" applyNumberFormat="1" applyFont="1" applyFill="1" applyBorder="1" applyAlignment="1">
      <alignment horizontal="right" vertical="center" indent="1"/>
    </xf>
    <xf numFmtId="4" fontId="2" fillId="3" borderId="13" xfId="0" applyNumberFormat="1" applyFont="1" applyFill="1" applyBorder="1" applyAlignment="1">
      <alignment horizontal="right" vertical="center" indent="1"/>
    </xf>
    <xf numFmtId="9" fontId="2" fillId="3" borderId="4" xfId="0" applyNumberFormat="1" applyFont="1" applyFill="1" applyBorder="1" applyAlignment="1">
      <alignment horizontal="center" vertical="center"/>
    </xf>
    <xf numFmtId="9" fontId="2" fillId="3" borderId="7" xfId="0" applyNumberFormat="1" applyFont="1" applyFill="1" applyBorder="1" applyAlignment="1">
      <alignment horizontal="center" vertical="center"/>
    </xf>
    <xf numFmtId="9" fontId="2" fillId="3" borderId="10" xfId="0" applyNumberFormat="1" applyFont="1" applyFill="1" applyBorder="1" applyAlignment="1">
      <alignment horizontal="center" vertical="center"/>
    </xf>
    <xf numFmtId="9" fontId="2" fillId="3" borderId="13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6" borderId="0" xfId="0" applyFill="1"/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 indent="1"/>
    </xf>
    <xf numFmtId="0" fontId="4" fillId="3" borderId="7" xfId="0" applyFont="1" applyFill="1" applyBorder="1" applyAlignment="1">
      <alignment horizontal="left" vertical="center" wrapText="1" indent="1"/>
    </xf>
    <xf numFmtId="0" fontId="4" fillId="3" borderId="10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wrapText="1" indent="1"/>
    </xf>
    <xf numFmtId="0" fontId="2" fillId="3" borderId="7" xfId="0" applyFont="1" applyFill="1" applyBorder="1" applyAlignment="1">
      <alignment horizontal="left" vertical="center" wrapText="1" indent="1"/>
    </xf>
    <xf numFmtId="0" fontId="4" fillId="3" borderId="13" xfId="0" applyFont="1" applyFill="1" applyBorder="1" applyAlignment="1">
      <alignment horizontal="left" vertical="center" wrapText="1" indent="1"/>
    </xf>
    <xf numFmtId="0" fontId="2" fillId="3" borderId="10" xfId="0" applyFont="1" applyFill="1" applyBorder="1" applyAlignment="1">
      <alignment horizontal="left" vertical="center" wrapText="1" indent="1"/>
    </xf>
    <xf numFmtId="0" fontId="2" fillId="3" borderId="13" xfId="0" applyFont="1" applyFill="1" applyBorder="1" applyAlignment="1">
      <alignment horizontal="left" vertical="center" wrapText="1" indent="1"/>
    </xf>
    <xf numFmtId="0" fontId="3" fillId="3" borderId="2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 wrapText="1" indent="1"/>
    </xf>
    <xf numFmtId="0" fontId="2" fillId="3" borderId="15" xfId="0" applyFont="1" applyFill="1" applyBorder="1" applyAlignment="1">
      <alignment horizontal="left" vertical="center" wrapText="1" indent="1"/>
    </xf>
    <xf numFmtId="3" fontId="6" fillId="3" borderId="15" xfId="0" applyNumberFormat="1" applyFont="1" applyFill="1" applyBorder="1" applyAlignment="1">
      <alignment horizontal="right" vertical="center" indent="1"/>
    </xf>
    <xf numFmtId="4" fontId="7" fillId="3" borderId="15" xfId="0" applyNumberFormat="1" applyFont="1" applyFill="1" applyBorder="1" applyAlignment="1">
      <alignment horizontal="right" vertical="center" indent="1"/>
    </xf>
    <xf numFmtId="9" fontId="2" fillId="3" borderId="15" xfId="0" applyNumberFormat="1" applyFont="1" applyFill="1" applyBorder="1" applyAlignment="1">
      <alignment horizontal="center" vertical="center"/>
    </xf>
    <xf numFmtId="4" fontId="2" fillId="3" borderId="15" xfId="0" applyNumberFormat="1" applyFont="1" applyFill="1" applyBorder="1" applyAlignment="1">
      <alignment horizontal="right" vertical="center" indent="1"/>
    </xf>
    <xf numFmtId="0" fontId="0" fillId="3" borderId="15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left" vertical="center" wrapText="1" indent="1"/>
    </xf>
    <xf numFmtId="0" fontId="2" fillId="3" borderId="24" xfId="0" applyFont="1" applyFill="1" applyBorder="1" applyAlignment="1">
      <alignment horizontal="left" vertical="center" wrapText="1" indent="1"/>
    </xf>
    <xf numFmtId="0" fontId="2" fillId="3" borderId="24" xfId="0" applyFont="1" applyFill="1" applyBorder="1" applyAlignment="1">
      <alignment horizontal="center" vertical="center"/>
    </xf>
    <xf numFmtId="3" fontId="6" fillId="3" borderId="24" xfId="0" applyNumberFormat="1" applyFont="1" applyFill="1" applyBorder="1" applyAlignment="1">
      <alignment horizontal="right" vertical="center" indent="1"/>
    </xf>
    <xf numFmtId="4" fontId="7" fillId="3" borderId="24" xfId="0" applyNumberFormat="1" applyFont="1" applyFill="1" applyBorder="1" applyAlignment="1">
      <alignment horizontal="right" vertical="center" indent="1"/>
    </xf>
    <xf numFmtId="9" fontId="2" fillId="3" borderId="24" xfId="0" applyNumberFormat="1" applyFont="1" applyFill="1" applyBorder="1" applyAlignment="1">
      <alignment horizontal="center" vertical="center"/>
    </xf>
    <xf numFmtId="4" fontId="2" fillId="3" borderId="24" xfId="0" applyNumberFormat="1" applyFont="1" applyFill="1" applyBorder="1" applyAlignment="1">
      <alignment horizontal="right" vertical="center" indent="1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2" fillId="3" borderId="28" xfId="0" applyFont="1" applyFill="1" applyBorder="1" applyAlignment="1">
      <alignment horizontal="left" vertical="center" wrapText="1" indent="1"/>
    </xf>
    <xf numFmtId="0" fontId="4" fillId="3" borderId="8" xfId="0" applyFont="1" applyFill="1" applyBorder="1" applyAlignment="1">
      <alignment horizontal="left" vertical="center" wrapText="1" indent="1"/>
    </xf>
    <xf numFmtId="0" fontId="2" fillId="3" borderId="6" xfId="0" applyFont="1" applyFill="1" applyBorder="1" applyAlignment="1">
      <alignment horizontal="left" vertical="center" wrapText="1" indent="1"/>
    </xf>
    <xf numFmtId="0" fontId="2" fillId="3" borderId="29" xfId="0" applyFont="1" applyFill="1" applyBorder="1" applyAlignment="1">
      <alignment horizontal="center" vertical="center"/>
    </xf>
    <xf numFmtId="3" fontId="14" fillId="3" borderId="8" xfId="0" applyNumberFormat="1" applyFont="1" applyFill="1" applyBorder="1" applyAlignment="1">
      <alignment horizontal="right" vertical="center" indent="1"/>
    </xf>
    <xf numFmtId="4" fontId="7" fillId="3" borderId="29" xfId="0" applyNumberFormat="1" applyFont="1" applyFill="1" applyBorder="1" applyAlignment="1">
      <alignment horizontal="right" vertical="center" indent="1"/>
    </xf>
    <xf numFmtId="9" fontId="2" fillId="3" borderId="29" xfId="0" applyNumberFormat="1" applyFont="1" applyFill="1" applyBorder="1" applyAlignment="1">
      <alignment horizontal="center" vertical="center"/>
    </xf>
    <xf numFmtId="4" fontId="2" fillId="3" borderId="29" xfId="0" applyNumberFormat="1" applyFont="1" applyFill="1" applyBorder="1" applyAlignment="1">
      <alignment horizontal="right" vertical="center" indent="1"/>
    </xf>
    <xf numFmtId="4" fontId="7" fillId="3" borderId="6" xfId="0" applyNumberFormat="1" applyFont="1" applyFill="1" applyBorder="1" applyAlignment="1">
      <alignment horizontal="right" vertical="center" indent="1"/>
    </xf>
    <xf numFmtId="0" fontId="0" fillId="3" borderId="6" xfId="0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left" vertical="center" wrapText="1" indent="1"/>
    </xf>
    <xf numFmtId="0" fontId="2" fillId="3" borderId="21" xfId="0" applyFont="1" applyFill="1" applyBorder="1" applyAlignment="1">
      <alignment horizontal="left" vertical="center" wrapText="1" indent="1"/>
    </xf>
    <xf numFmtId="0" fontId="2" fillId="3" borderId="27" xfId="0" applyFont="1" applyFill="1" applyBorder="1" applyAlignment="1">
      <alignment horizontal="center" vertical="center"/>
    </xf>
    <xf numFmtId="3" fontId="14" fillId="3" borderId="22" xfId="0" applyNumberFormat="1" applyFont="1" applyFill="1" applyBorder="1" applyAlignment="1">
      <alignment horizontal="right" vertical="center" indent="1"/>
    </xf>
    <xf numFmtId="4" fontId="7" fillId="3" borderId="27" xfId="0" applyNumberFormat="1" applyFont="1" applyFill="1" applyBorder="1" applyAlignment="1">
      <alignment horizontal="right" vertical="center" indent="1"/>
    </xf>
    <xf numFmtId="9" fontId="2" fillId="3" borderId="27" xfId="0" applyNumberFormat="1" applyFont="1" applyFill="1" applyBorder="1" applyAlignment="1">
      <alignment horizontal="center" vertical="center"/>
    </xf>
    <xf numFmtId="4" fontId="2" fillId="3" borderId="27" xfId="0" applyNumberFormat="1" applyFont="1" applyFill="1" applyBorder="1" applyAlignment="1">
      <alignment horizontal="right" vertical="center" indent="1"/>
    </xf>
    <xf numFmtId="4" fontId="7" fillId="3" borderId="21" xfId="0" applyNumberFormat="1" applyFont="1" applyFill="1" applyBorder="1" applyAlignment="1">
      <alignment horizontal="right" vertical="center" indent="1"/>
    </xf>
    <xf numFmtId="0" fontId="0" fillId="3" borderId="21" xfId="0" applyFill="1" applyBorder="1" applyAlignment="1">
      <alignment horizontal="center" vertical="center"/>
    </xf>
    <xf numFmtId="0" fontId="0" fillId="6" borderId="0" xfId="0" applyFill="1" applyBorder="1"/>
    <xf numFmtId="0" fontId="0" fillId="7" borderId="0" xfId="0" applyFill="1" applyBorder="1" applyAlignment="1">
      <alignment horizontal="center"/>
    </xf>
    <xf numFmtId="0" fontId="19" fillId="6" borderId="0" xfId="0" applyFont="1" applyFill="1" applyAlignment="1">
      <alignment horizontal="left" vertical="center" wrapText="1" indent="3"/>
    </xf>
    <xf numFmtId="0" fontId="21" fillId="6" borderId="0" xfId="0" applyFont="1" applyFill="1" applyAlignment="1">
      <alignment horizontal="left" vertical="center" wrapText="1" indent="3"/>
    </xf>
    <xf numFmtId="0" fontId="18" fillId="6" borderId="0" xfId="0" applyFont="1" applyFill="1" applyAlignment="1">
      <alignment horizontal="left" vertical="center" wrapText="1" indent="3"/>
    </xf>
    <xf numFmtId="0" fontId="20" fillId="6" borderId="0" xfId="0" applyFont="1" applyFill="1" applyAlignment="1">
      <alignment horizontal="left" vertical="center" wrapText="1" indent="3"/>
    </xf>
    <xf numFmtId="0" fontId="17" fillId="6" borderId="0" xfId="0" applyFont="1" applyFill="1" applyAlignment="1">
      <alignment horizontal="left" vertical="center" wrapText="1" indent="3"/>
    </xf>
    <xf numFmtId="0" fontId="22" fillId="6" borderId="0" xfId="1" applyFont="1" applyFill="1" applyAlignment="1">
      <alignment horizontal="left" vertical="center" wrapText="1" indent="3"/>
    </xf>
    <xf numFmtId="0" fontId="23" fillId="6" borderId="0" xfId="0" applyFont="1" applyFill="1" applyAlignment="1">
      <alignment horizontal="center" vertical="center" wrapText="1"/>
    </xf>
    <xf numFmtId="0" fontId="25" fillId="6" borderId="0" xfId="0" applyFont="1" applyFill="1" applyAlignment="1">
      <alignment horizontal="left" vertical="center" wrapText="1"/>
    </xf>
    <xf numFmtId="49" fontId="26" fillId="6" borderId="38" xfId="0" applyNumberFormat="1" applyFont="1" applyFill="1" applyBorder="1" applyAlignment="1">
      <alignment horizontal="left" vertical="center" wrapText="1" indent="1"/>
    </xf>
    <xf numFmtId="49" fontId="26" fillId="6" borderId="26" xfId="0" applyNumberFormat="1" applyFont="1" applyFill="1" applyBorder="1" applyAlignment="1">
      <alignment horizontal="left" vertical="center" wrapText="1" indent="1"/>
    </xf>
    <xf numFmtId="49" fontId="26" fillId="6" borderId="42" xfId="0" applyNumberFormat="1" applyFont="1" applyFill="1" applyBorder="1" applyAlignment="1">
      <alignment horizontal="left" vertical="center" wrapText="1" indent="1"/>
    </xf>
    <xf numFmtId="49" fontId="7" fillId="6" borderId="26" xfId="0" applyNumberFormat="1" applyFont="1" applyFill="1" applyBorder="1" applyAlignment="1">
      <alignment horizontal="left" vertical="center" wrapText="1" indent="1"/>
    </xf>
    <xf numFmtId="49" fontId="7" fillId="6" borderId="39" xfId="0" applyNumberFormat="1" applyFont="1" applyFill="1" applyBorder="1" applyAlignment="1">
      <alignment horizontal="left" vertical="center" wrapText="1" indent="1"/>
    </xf>
    <xf numFmtId="0" fontId="8" fillId="6" borderId="0" xfId="0" applyFont="1" applyFill="1" applyAlignment="1">
      <alignment horizontal="left" vertical="center"/>
    </xf>
    <xf numFmtId="0" fontId="27" fillId="6" borderId="0" xfId="0" applyFont="1" applyFill="1" applyAlignment="1">
      <alignment horizontal="left" vertical="center"/>
    </xf>
    <xf numFmtId="0" fontId="28" fillId="6" borderId="17" xfId="0" applyFont="1" applyFill="1" applyBorder="1" applyAlignment="1">
      <alignment horizontal="center"/>
    </xf>
    <xf numFmtId="0" fontId="28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8" fillId="6" borderId="0" xfId="0" applyFont="1" applyFill="1" applyAlignment="1">
      <alignment horizontal="center" vertical="center"/>
    </xf>
    <xf numFmtId="0" fontId="0" fillId="6" borderId="18" xfId="0" applyFill="1" applyBorder="1" applyAlignment="1">
      <alignment horizontal="center"/>
    </xf>
    <xf numFmtId="49" fontId="26" fillId="6" borderId="36" xfId="0" applyNumberFormat="1" applyFont="1" applyFill="1" applyBorder="1" applyAlignment="1">
      <alignment horizontal="left" vertical="center" wrapText="1" indent="1"/>
    </xf>
    <xf numFmtId="49" fontId="26" fillId="6" borderId="16" xfId="0" applyNumberFormat="1" applyFont="1" applyFill="1" applyBorder="1" applyAlignment="1">
      <alignment horizontal="left" vertical="center" wrapText="1" indent="1"/>
    </xf>
    <xf numFmtId="49" fontId="26" fillId="6" borderId="41" xfId="0" applyNumberFormat="1" applyFont="1" applyFill="1" applyBorder="1" applyAlignment="1">
      <alignment horizontal="left" vertical="center" wrapText="1" indent="1"/>
    </xf>
    <xf numFmtId="49" fontId="7" fillId="6" borderId="16" xfId="0" applyNumberFormat="1" applyFont="1" applyFill="1" applyBorder="1" applyAlignment="1">
      <alignment horizontal="left" vertical="center" wrapText="1" indent="1"/>
    </xf>
    <xf numFmtId="49" fontId="7" fillId="6" borderId="37" xfId="0" applyNumberFormat="1" applyFont="1" applyFill="1" applyBorder="1" applyAlignment="1">
      <alignment horizontal="left" vertical="center" wrapText="1" indent="1"/>
    </xf>
    <xf numFmtId="0" fontId="4" fillId="6" borderId="0" xfId="0" applyFont="1" applyFill="1" applyAlignment="1">
      <alignment horizontal="left" vertical="center"/>
    </xf>
    <xf numFmtId="0" fontId="25" fillId="6" borderId="0" xfId="0" applyFont="1" applyFill="1" applyAlignment="1">
      <alignment horizontal="left" vertical="center"/>
    </xf>
    <xf numFmtId="49" fontId="26" fillId="6" borderId="33" xfId="0" applyNumberFormat="1" applyFont="1" applyFill="1" applyBorder="1" applyAlignment="1">
      <alignment horizontal="left" vertical="center" wrapText="1" indent="1"/>
    </xf>
    <xf numFmtId="49" fontId="26" fillId="6" borderId="34" xfId="0" applyNumberFormat="1" applyFont="1" applyFill="1" applyBorder="1" applyAlignment="1">
      <alignment horizontal="left" vertical="center" wrapText="1" indent="1"/>
    </xf>
    <xf numFmtId="49" fontId="26" fillId="6" borderId="40" xfId="0" applyNumberFormat="1" applyFont="1" applyFill="1" applyBorder="1" applyAlignment="1">
      <alignment horizontal="left" vertical="center" wrapText="1" indent="1"/>
    </xf>
    <xf numFmtId="49" fontId="7" fillId="6" borderId="34" xfId="0" applyNumberFormat="1" applyFont="1" applyFill="1" applyBorder="1" applyAlignment="1">
      <alignment horizontal="left" vertical="center" wrapText="1" indent="1"/>
    </xf>
    <xf numFmtId="49" fontId="7" fillId="6" borderId="35" xfId="0" applyNumberFormat="1" applyFont="1" applyFill="1" applyBorder="1" applyAlignment="1">
      <alignment horizontal="left" vertical="center" wrapText="1" indent="1"/>
    </xf>
    <xf numFmtId="0" fontId="24" fillId="8" borderId="0" xfId="0" applyFont="1" applyFill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4" borderId="17" xfId="0" applyFont="1" applyFill="1" applyBorder="1" applyAlignment="1">
      <alignment horizontal="right" vertical="center" wrapText="1" indent="1"/>
    </xf>
    <xf numFmtId="0" fontId="9" fillId="4" borderId="0" xfId="0" applyFont="1" applyFill="1" applyBorder="1" applyAlignment="1">
      <alignment horizontal="right" vertical="center" wrapText="1" indent="1"/>
    </xf>
    <xf numFmtId="0" fontId="9" fillId="4" borderId="18" xfId="0" applyFont="1" applyFill="1" applyBorder="1" applyAlignment="1">
      <alignment horizontal="right" vertical="center" wrapText="1" indent="1"/>
    </xf>
    <xf numFmtId="0" fontId="7" fillId="5" borderId="17" xfId="0" applyFont="1" applyFill="1" applyBorder="1" applyAlignment="1">
      <alignment horizontal="center"/>
    </xf>
    <xf numFmtId="164" fontId="8" fillId="5" borderId="0" xfId="0" applyNumberFormat="1" applyFont="1" applyFill="1" applyBorder="1" applyAlignment="1">
      <alignment horizontal="right" vertical="center" indent="1"/>
    </xf>
    <xf numFmtId="164" fontId="8" fillId="5" borderId="18" xfId="0" applyNumberFormat="1" applyFont="1" applyFill="1" applyBorder="1" applyAlignment="1">
      <alignment horizontal="right" vertical="center" indent="1"/>
    </xf>
    <xf numFmtId="0" fontId="7" fillId="6" borderId="0" xfId="0" applyFont="1" applyFill="1" applyAlignment="1">
      <alignment horizontal="center"/>
    </xf>
    <xf numFmtId="0" fontId="0" fillId="6" borderId="0" xfId="0" applyFill="1" applyBorder="1" applyAlignment="1">
      <alignment horizontal="center"/>
    </xf>
    <xf numFmtId="0" fontId="10" fillId="6" borderId="17" xfId="0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0" fontId="11" fillId="6" borderId="19" xfId="0" applyFont="1" applyFill="1" applyBorder="1" applyAlignment="1">
      <alignment horizontal="right" vertical="top" indent="1"/>
    </xf>
    <xf numFmtId="0" fontId="11" fillId="6" borderId="0" xfId="0" applyFont="1" applyFill="1" applyBorder="1" applyAlignment="1">
      <alignment horizontal="right" vertical="top" indent="1"/>
    </xf>
    <xf numFmtId="0" fontId="11" fillId="6" borderId="20" xfId="0" applyFont="1" applyFill="1" applyBorder="1" applyAlignment="1">
      <alignment horizontal="right" vertical="top" indent="1"/>
    </xf>
    <xf numFmtId="0" fontId="13" fillId="6" borderId="19" xfId="0" applyFont="1" applyFill="1" applyBorder="1" applyAlignment="1">
      <alignment horizontal="left" vertical="center" indent="1"/>
    </xf>
    <xf numFmtId="0" fontId="13" fillId="6" borderId="0" xfId="0" applyFont="1" applyFill="1" applyBorder="1" applyAlignment="1">
      <alignment horizontal="left" vertical="center" indent="1"/>
    </xf>
    <xf numFmtId="0" fontId="13" fillId="6" borderId="20" xfId="0" applyFont="1" applyFill="1" applyBorder="1" applyAlignment="1">
      <alignment horizontal="left" vertical="center" indent="1"/>
    </xf>
    <xf numFmtId="0" fontId="13" fillId="6" borderId="19" xfId="0" applyFont="1" applyFill="1" applyBorder="1" applyAlignment="1">
      <alignment horizontal="left" vertical="center" wrapText="1" indent="1"/>
    </xf>
    <xf numFmtId="0" fontId="13" fillId="6" borderId="0" xfId="0" applyFont="1" applyFill="1" applyBorder="1" applyAlignment="1">
      <alignment horizontal="left" vertical="center" wrapText="1" indent="1"/>
    </xf>
    <xf numFmtId="0" fontId="13" fillId="6" borderId="20" xfId="0" applyFont="1" applyFill="1" applyBorder="1" applyAlignment="1">
      <alignment horizontal="left" vertical="center" wrapText="1" indent="1"/>
    </xf>
    <xf numFmtId="0" fontId="13" fillId="6" borderId="19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Партије линк" xfId="2"/>
  </cellStyles>
  <dxfs count="392"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/>
        <top/>
        <bottom/>
        <vertical style="thin">
          <color theme="6" tint="0.79998168889431442"/>
        </vertical>
        <horizontal/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/>
        <top/>
        <bottom/>
        <vertical style="thin">
          <color theme="6" tint="0.79998168889431442"/>
        </vertical>
        <horizontal/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/>
        <top/>
        <bottom/>
        <vertical style="thin">
          <color theme="6" tint="0.79998168889431442"/>
        </vertical>
        <horizontal/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/>
        <top/>
        <bottom/>
        <vertical style="thin">
          <color theme="6" tint="0.79998168889431442"/>
        </vertical>
        <horizontal/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/>
        <top/>
        <bottom/>
        <vertical style="thin">
          <color theme="6" tint="0.79998168889431442"/>
        </vertical>
        <horizontal/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/>
        <top/>
        <bottom/>
        <vertical style="thin">
          <color theme="6" tint="0.79998168889431442"/>
        </vertical>
        <horizontal/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/>
        <top/>
        <bottom/>
        <vertical style="thin">
          <color theme="6" tint="0.79998168889431442"/>
        </vertical>
        <horizontal/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/>
        <top/>
        <bottom/>
        <vertical style="thin">
          <color theme="6" tint="0.79998168889431442"/>
        </vertical>
        <horizontal/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6" tint="0.79998168889431442"/>
        </left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6" tint="0.79998168889431442"/>
        </right>
        <top/>
        <bottom/>
        <vertical style="thin">
          <color theme="6" tint="0.79998168889431442"/>
        </vertical>
        <horizontal/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i/>
      </font>
      <numFmt numFmtId="13" formatCode="0%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i/>
      </font>
      <numFmt numFmtId="4" formatCode="#,##0.0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rgb="FFFFFFCC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79998168889431442"/>
        </left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0.79998168889431442"/>
        </left>
        <right style="thin">
          <color theme="6" tint="0.79998168889431442"/>
        </right>
        <top style="thin">
          <color theme="6" tint="0.79998168889431442"/>
        </top>
        <bottom style="thin">
          <color theme="6" tint="0.79998168889431442"/>
        </bottom>
      </border>
    </dxf>
    <dxf>
      <font>
        <i val="0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79998168889431442"/>
        </top>
        <bottom style="thin">
          <color theme="6" tint="0.79998168889431442"/>
        </bottom>
      </border>
    </dxf>
    <dxf>
      <fill>
        <patternFill patternType="solid">
          <fgColor indexed="64"/>
          <bgColor rgb="FFFFFFCC"/>
        </patternFill>
      </fill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800000"/>
      <color rgb="FF990000"/>
      <color rgb="FF6CA200"/>
      <color rgb="FF669900"/>
      <color rgb="FF6C0000"/>
      <color rgb="FFFFFFCC"/>
      <color rgb="FF33CC33"/>
      <color rgb="FF66FF66"/>
      <color rgb="FF99FF33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&#1055;-7'!A1"/><Relationship Id="rId13" Type="http://schemas.openxmlformats.org/officeDocument/2006/relationships/hyperlink" Target="#'&#1055;-12'!A1"/><Relationship Id="rId18" Type="http://schemas.openxmlformats.org/officeDocument/2006/relationships/hyperlink" Target="#'&#1055;-17'!A1"/><Relationship Id="rId26" Type="http://schemas.openxmlformats.org/officeDocument/2006/relationships/hyperlink" Target="#'&#1055;-25'!A1"/><Relationship Id="rId3" Type="http://schemas.openxmlformats.org/officeDocument/2006/relationships/hyperlink" Target="#'&#1055;-2'!A1"/><Relationship Id="rId21" Type="http://schemas.openxmlformats.org/officeDocument/2006/relationships/hyperlink" Target="#'&#1055;-20'!A1"/><Relationship Id="rId7" Type="http://schemas.openxmlformats.org/officeDocument/2006/relationships/hyperlink" Target="#'&#1055;-6'!A1"/><Relationship Id="rId12" Type="http://schemas.openxmlformats.org/officeDocument/2006/relationships/hyperlink" Target="#'&#1055;-11'!A1"/><Relationship Id="rId17" Type="http://schemas.openxmlformats.org/officeDocument/2006/relationships/hyperlink" Target="#'&#1055;-16'!A1"/><Relationship Id="rId25" Type="http://schemas.openxmlformats.org/officeDocument/2006/relationships/hyperlink" Target="#'&#1055;-24'!A1"/><Relationship Id="rId2" Type="http://schemas.openxmlformats.org/officeDocument/2006/relationships/hyperlink" Target="#'&#1055;-1'!A1"/><Relationship Id="rId16" Type="http://schemas.openxmlformats.org/officeDocument/2006/relationships/hyperlink" Target="#'&#1055;-15'!A1"/><Relationship Id="rId20" Type="http://schemas.openxmlformats.org/officeDocument/2006/relationships/hyperlink" Target="#'&#1055;-19'!A1"/><Relationship Id="rId29" Type="http://schemas.openxmlformats.org/officeDocument/2006/relationships/hyperlink" Target="#&#1055;&#1054;&#1063;&#1045;&#1058;&#1053;&#1040;!A1"/><Relationship Id="rId1" Type="http://schemas.openxmlformats.org/officeDocument/2006/relationships/image" Target="../media/image1.png"/><Relationship Id="rId6" Type="http://schemas.openxmlformats.org/officeDocument/2006/relationships/hyperlink" Target="#'&#1055;-5'!A1"/><Relationship Id="rId11" Type="http://schemas.openxmlformats.org/officeDocument/2006/relationships/hyperlink" Target="#'&#1055;-10'!A1"/><Relationship Id="rId24" Type="http://schemas.openxmlformats.org/officeDocument/2006/relationships/hyperlink" Target="#'&#1055;-23'!A1"/><Relationship Id="rId5" Type="http://schemas.openxmlformats.org/officeDocument/2006/relationships/hyperlink" Target="#'&#1055;-4'!A1"/><Relationship Id="rId15" Type="http://schemas.openxmlformats.org/officeDocument/2006/relationships/hyperlink" Target="#'&#1055;-14'!A1"/><Relationship Id="rId23" Type="http://schemas.openxmlformats.org/officeDocument/2006/relationships/hyperlink" Target="#'&#1055;-22'!A1"/><Relationship Id="rId28" Type="http://schemas.openxmlformats.org/officeDocument/2006/relationships/hyperlink" Target="#'&#1055;-27'!A1"/><Relationship Id="rId10" Type="http://schemas.openxmlformats.org/officeDocument/2006/relationships/hyperlink" Target="#'&#1055;-9'!A1"/><Relationship Id="rId19" Type="http://schemas.openxmlformats.org/officeDocument/2006/relationships/hyperlink" Target="#'&#1055;-18'!A1"/><Relationship Id="rId31" Type="http://schemas.openxmlformats.org/officeDocument/2006/relationships/hyperlink" Target="#'&#1055;&#1086;&#1076;&#1072;&#1094;&#1080; &#1086; &#1091;&#1095; &#1079;&#1072;&#1112;&#1077;&#1076;&#1085;&#1080;&#1095;&#1082;&#1072; &#1087;&#1086;'!A1"/><Relationship Id="rId4" Type="http://schemas.openxmlformats.org/officeDocument/2006/relationships/hyperlink" Target="#'&#1055;-3'!A1"/><Relationship Id="rId9" Type="http://schemas.openxmlformats.org/officeDocument/2006/relationships/hyperlink" Target="#'&#1055;-8'!A1"/><Relationship Id="rId14" Type="http://schemas.openxmlformats.org/officeDocument/2006/relationships/hyperlink" Target="#'&#1055;-13'!A1"/><Relationship Id="rId22" Type="http://schemas.openxmlformats.org/officeDocument/2006/relationships/hyperlink" Target="#'&#1055;-21'!A1"/><Relationship Id="rId27" Type="http://schemas.openxmlformats.org/officeDocument/2006/relationships/hyperlink" Target="#'&#1055;-26'!A1"/><Relationship Id="rId30" Type="http://schemas.openxmlformats.org/officeDocument/2006/relationships/hyperlink" Target="#'&#1055;&#1086;&#1076;&#1072;&#1094;&#1080; &#1086; &#1087;&#1086;&#1091;&#1106;&#1072;&#1095;&#1091;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1055;&#1054;&#1063;&#1045;&#1058;&#1053;&#1040;!A1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1055;&#1054;&#1063;&#1045;&#1058;&#1053;&#1040;!A1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1055;&#1054;&#1063;&#1045;&#1058;&#1053;&#1040;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1055;&#1054;&#1063;&#1045;&#1058;&#1053;&#1040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142874</xdr:rowOff>
    </xdr:from>
    <xdr:to>
      <xdr:col>4</xdr:col>
      <xdr:colOff>104775</xdr:colOff>
      <xdr:row>7</xdr:row>
      <xdr:rowOff>168112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142874"/>
          <a:ext cx="1514475" cy="153971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4</xdr:col>
      <xdr:colOff>533400</xdr:colOff>
      <xdr:row>16</xdr:row>
      <xdr:rowOff>352425</xdr:rowOff>
    </xdr:to>
    <xdr:sp macro="" textlink="">
      <xdr:nvSpPr>
        <xdr:cNvPr id="46" name="Round Diagonal Corner Rectangle 45">
          <a:hlinkClick xmlns:r="http://schemas.openxmlformats.org/officeDocument/2006/relationships" r:id="rId2"/>
        </xdr:cNvPr>
        <xdr:cNvSpPr/>
      </xdr:nvSpPr>
      <xdr:spPr>
        <a:xfrm>
          <a:off x="609600" y="322897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П-1</a:t>
          </a:r>
          <a:r>
            <a:rPr lang="sr-Cyrl-RS" sz="1200" b="1" i="1" baseline="0">
              <a:solidFill>
                <a:schemeClr val="bg1"/>
              </a:solidFill>
            </a:rPr>
            <a:t> ХЛЕБ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4</xdr:col>
      <xdr:colOff>533400</xdr:colOff>
      <xdr:row>17</xdr:row>
      <xdr:rowOff>352425</xdr:rowOff>
    </xdr:to>
    <xdr:sp macro="" textlink="">
      <xdr:nvSpPr>
        <xdr:cNvPr id="47" name="Round Diagonal Corner Rectangle 46">
          <a:hlinkClick xmlns:r="http://schemas.openxmlformats.org/officeDocument/2006/relationships" r:id="rId3"/>
        </xdr:cNvPr>
        <xdr:cNvSpPr/>
      </xdr:nvSpPr>
      <xdr:spPr>
        <a:xfrm>
          <a:off x="609600" y="366712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П-2 ПЕКАРСКИ ПРОИЗВОДИ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4</xdr:col>
      <xdr:colOff>533400</xdr:colOff>
      <xdr:row>18</xdr:row>
      <xdr:rowOff>352425</xdr:rowOff>
    </xdr:to>
    <xdr:sp macro="" textlink="">
      <xdr:nvSpPr>
        <xdr:cNvPr id="48" name="Round Diagonal Corner Rectangle 47">
          <a:hlinkClick xmlns:r="http://schemas.openxmlformats.org/officeDocument/2006/relationships" r:id="rId4"/>
        </xdr:cNvPr>
        <xdr:cNvSpPr/>
      </xdr:nvSpPr>
      <xdr:spPr>
        <a:xfrm>
          <a:off x="609600" y="4105275"/>
          <a:ext cx="2362200" cy="352425"/>
        </a:xfrm>
        <a:prstGeom prst="round2DiagRect">
          <a:avLst/>
        </a:prstGeom>
        <a:solidFill>
          <a:srgbClr val="6C0000"/>
        </a:solidFill>
        <a:ln cmpd="dbl"/>
        <a:effectLst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П-3 КОРЕ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4</xdr:col>
      <xdr:colOff>533400</xdr:colOff>
      <xdr:row>19</xdr:row>
      <xdr:rowOff>352425</xdr:rowOff>
    </xdr:to>
    <xdr:sp macro="" textlink="">
      <xdr:nvSpPr>
        <xdr:cNvPr id="49" name="Round Diagonal Corner Rectangle 48">
          <a:hlinkClick xmlns:r="http://schemas.openxmlformats.org/officeDocument/2006/relationships" r:id="rId5"/>
        </xdr:cNvPr>
        <xdr:cNvSpPr/>
      </xdr:nvSpPr>
      <xdr:spPr>
        <a:xfrm>
          <a:off x="609600" y="454342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П-4</a:t>
          </a:r>
          <a:r>
            <a:rPr lang="sr-Cyrl-RS" sz="1200" b="1" i="1" baseline="0">
              <a:solidFill>
                <a:schemeClr val="bg1"/>
              </a:solidFill>
            </a:rPr>
            <a:t> СМРЗНУТА ТЕСТА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4</xdr:col>
      <xdr:colOff>533400</xdr:colOff>
      <xdr:row>20</xdr:row>
      <xdr:rowOff>352425</xdr:rowOff>
    </xdr:to>
    <xdr:sp macro="" textlink="">
      <xdr:nvSpPr>
        <xdr:cNvPr id="54" name="Round Diagonal Corner Rectangle 53">
          <a:hlinkClick xmlns:r="http://schemas.openxmlformats.org/officeDocument/2006/relationships" r:id="rId6"/>
        </xdr:cNvPr>
        <xdr:cNvSpPr/>
      </xdr:nvSpPr>
      <xdr:spPr>
        <a:xfrm>
          <a:off x="609600" y="498157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П-5</a:t>
          </a:r>
          <a:r>
            <a:rPr lang="sr-Cyrl-RS" sz="1200" b="1" i="1" baseline="0">
              <a:solidFill>
                <a:schemeClr val="bg1"/>
              </a:solidFill>
            </a:rPr>
            <a:t> МЛЕКО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4</xdr:col>
      <xdr:colOff>533400</xdr:colOff>
      <xdr:row>21</xdr:row>
      <xdr:rowOff>352425</xdr:rowOff>
    </xdr:to>
    <xdr:sp macro="" textlink="">
      <xdr:nvSpPr>
        <xdr:cNvPr id="56" name="Round Diagonal Corner Rectangle 55">
          <a:hlinkClick xmlns:r="http://schemas.openxmlformats.org/officeDocument/2006/relationships" r:id="rId7"/>
        </xdr:cNvPr>
        <xdr:cNvSpPr/>
      </xdr:nvSpPr>
      <xdr:spPr>
        <a:xfrm>
          <a:off x="609600" y="541972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П-6 МЛ. ПРО. КРАТКОТРАЈНИ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8</xdr:col>
      <xdr:colOff>533400</xdr:colOff>
      <xdr:row>16</xdr:row>
      <xdr:rowOff>352425</xdr:rowOff>
    </xdr:to>
    <xdr:sp macro="" textlink="">
      <xdr:nvSpPr>
        <xdr:cNvPr id="57" name="Round Diagonal Corner Rectangle 56">
          <a:hlinkClick xmlns:r="http://schemas.openxmlformats.org/officeDocument/2006/relationships" r:id="rId8"/>
        </xdr:cNvPr>
        <xdr:cNvSpPr/>
      </xdr:nvSpPr>
      <xdr:spPr>
        <a:xfrm>
          <a:off x="3048000" y="322897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П-7 МЛ. ПРО. ДУГОТРАЈНИ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8</xdr:col>
      <xdr:colOff>533400</xdr:colOff>
      <xdr:row>17</xdr:row>
      <xdr:rowOff>352425</xdr:rowOff>
    </xdr:to>
    <xdr:sp macro="" textlink="">
      <xdr:nvSpPr>
        <xdr:cNvPr id="58" name="Round Diagonal Corner Rectangle 57">
          <a:hlinkClick xmlns:r="http://schemas.openxmlformats.org/officeDocument/2006/relationships" r:id="rId9"/>
        </xdr:cNvPr>
        <xdr:cNvSpPr/>
      </xdr:nvSpPr>
      <xdr:spPr>
        <a:xfrm>
          <a:off x="3048000" y="366712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П-8 МЕСО ГОВЕЂЕ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8</xdr:col>
      <xdr:colOff>533400</xdr:colOff>
      <xdr:row>18</xdr:row>
      <xdr:rowOff>352425</xdr:rowOff>
    </xdr:to>
    <xdr:sp macro="" textlink="">
      <xdr:nvSpPr>
        <xdr:cNvPr id="60" name="Round Diagonal Corner Rectangle 59">
          <a:hlinkClick xmlns:r="http://schemas.openxmlformats.org/officeDocument/2006/relationships" r:id="rId10"/>
        </xdr:cNvPr>
        <xdr:cNvSpPr/>
      </xdr:nvSpPr>
      <xdr:spPr>
        <a:xfrm>
          <a:off x="3048000" y="410527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П-9</a:t>
          </a:r>
          <a:r>
            <a:rPr lang="sr-Cyrl-RS" sz="1200" b="1" i="1" baseline="0">
              <a:solidFill>
                <a:schemeClr val="bg1"/>
              </a:solidFill>
            </a:rPr>
            <a:t> МЕСО ЈАГЊЕЋЕ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8</xdr:col>
      <xdr:colOff>533400</xdr:colOff>
      <xdr:row>19</xdr:row>
      <xdr:rowOff>352425</xdr:rowOff>
    </xdr:to>
    <xdr:sp macro="" textlink="">
      <xdr:nvSpPr>
        <xdr:cNvPr id="63" name="Round Diagonal Corner Rectangle 62">
          <a:hlinkClick xmlns:r="http://schemas.openxmlformats.org/officeDocument/2006/relationships" r:id="rId11"/>
        </xdr:cNvPr>
        <xdr:cNvSpPr/>
      </xdr:nvSpPr>
      <xdr:spPr>
        <a:xfrm>
          <a:off x="3048000" y="454342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П-10 МЕСО СВИЊСКО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8</xdr:col>
      <xdr:colOff>533400</xdr:colOff>
      <xdr:row>20</xdr:row>
      <xdr:rowOff>352425</xdr:rowOff>
    </xdr:to>
    <xdr:sp macro="" textlink="">
      <xdr:nvSpPr>
        <xdr:cNvPr id="65" name="Round Diagonal Corner Rectangle 64">
          <a:hlinkClick xmlns:r="http://schemas.openxmlformats.org/officeDocument/2006/relationships" r:id="rId12"/>
        </xdr:cNvPr>
        <xdr:cNvSpPr/>
      </xdr:nvSpPr>
      <xdr:spPr>
        <a:xfrm>
          <a:off x="3048000" y="498157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П-11 ПРЕРАЂЕ. СВИЊ. МЕСО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8</xdr:col>
      <xdr:colOff>533400</xdr:colOff>
      <xdr:row>21</xdr:row>
      <xdr:rowOff>352425</xdr:rowOff>
    </xdr:to>
    <xdr:sp macro="" textlink="">
      <xdr:nvSpPr>
        <xdr:cNvPr id="67" name="Round Diagonal Corner Rectangle 66">
          <a:hlinkClick xmlns:r="http://schemas.openxmlformats.org/officeDocument/2006/relationships" r:id="rId13"/>
        </xdr:cNvPr>
        <xdr:cNvSpPr/>
      </xdr:nvSpPr>
      <xdr:spPr>
        <a:xfrm>
          <a:off x="3048000" y="541972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П-12 МЕСО ЖИВИНЕ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16</xdr:row>
      <xdr:rowOff>0</xdr:rowOff>
    </xdr:from>
    <xdr:to>
      <xdr:col>12</xdr:col>
      <xdr:colOff>533400</xdr:colOff>
      <xdr:row>16</xdr:row>
      <xdr:rowOff>352425</xdr:rowOff>
    </xdr:to>
    <xdr:sp macro="" textlink="">
      <xdr:nvSpPr>
        <xdr:cNvPr id="70" name="Round Diagonal Corner Rectangle 69">
          <a:hlinkClick xmlns:r="http://schemas.openxmlformats.org/officeDocument/2006/relationships" r:id="rId14"/>
        </xdr:cNvPr>
        <xdr:cNvSpPr/>
      </xdr:nvSpPr>
      <xdr:spPr>
        <a:xfrm>
          <a:off x="5486400" y="322897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П-13 ПРЕРАЂЕ. ПИЛЕЋЕ. МЕСО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17</xdr:row>
      <xdr:rowOff>0</xdr:rowOff>
    </xdr:from>
    <xdr:to>
      <xdr:col>12</xdr:col>
      <xdr:colOff>533400</xdr:colOff>
      <xdr:row>17</xdr:row>
      <xdr:rowOff>352425</xdr:rowOff>
    </xdr:to>
    <xdr:sp macro="" textlink="">
      <xdr:nvSpPr>
        <xdr:cNvPr id="71" name="Round Diagonal Corner Rectangle 70">
          <a:hlinkClick xmlns:r="http://schemas.openxmlformats.org/officeDocument/2006/relationships" r:id="rId15"/>
        </xdr:cNvPr>
        <xdr:cNvSpPr/>
      </xdr:nvSpPr>
      <xdr:spPr>
        <a:xfrm>
          <a:off x="5486400" y="366712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П-14 МАРГАРИН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18</xdr:row>
      <xdr:rowOff>0</xdr:rowOff>
    </xdr:from>
    <xdr:to>
      <xdr:col>12</xdr:col>
      <xdr:colOff>533400</xdr:colOff>
      <xdr:row>18</xdr:row>
      <xdr:rowOff>352425</xdr:rowOff>
    </xdr:to>
    <xdr:sp macro="" textlink="">
      <xdr:nvSpPr>
        <xdr:cNvPr id="73" name="Round Diagonal Corner Rectangle 72">
          <a:hlinkClick xmlns:r="http://schemas.openxmlformats.org/officeDocument/2006/relationships" r:id="rId16"/>
        </xdr:cNvPr>
        <xdr:cNvSpPr/>
      </xdr:nvSpPr>
      <xdr:spPr>
        <a:xfrm>
          <a:off x="5486400" y="410527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П-15 МАЈОНЕЗ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19</xdr:row>
      <xdr:rowOff>0</xdr:rowOff>
    </xdr:from>
    <xdr:to>
      <xdr:col>12</xdr:col>
      <xdr:colOff>533400</xdr:colOff>
      <xdr:row>19</xdr:row>
      <xdr:rowOff>352425</xdr:rowOff>
    </xdr:to>
    <xdr:sp macro="" textlink="">
      <xdr:nvSpPr>
        <xdr:cNvPr id="75" name="Round Diagonal Corner Rectangle 74">
          <a:hlinkClick xmlns:r="http://schemas.openxmlformats.org/officeDocument/2006/relationships" r:id="rId17"/>
        </xdr:cNvPr>
        <xdr:cNvSpPr/>
      </xdr:nvSpPr>
      <xdr:spPr>
        <a:xfrm>
          <a:off x="5486400" y="454342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П-16 РИБА СМРЗНУТА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20</xdr:row>
      <xdr:rowOff>0</xdr:rowOff>
    </xdr:from>
    <xdr:to>
      <xdr:col>12</xdr:col>
      <xdr:colOff>533400</xdr:colOff>
      <xdr:row>20</xdr:row>
      <xdr:rowOff>352425</xdr:rowOff>
    </xdr:to>
    <xdr:sp macro="" textlink="">
      <xdr:nvSpPr>
        <xdr:cNvPr id="77" name="Round Diagonal Corner Rectangle 76">
          <a:hlinkClick xmlns:r="http://schemas.openxmlformats.org/officeDocument/2006/relationships" r:id="rId18"/>
        </xdr:cNvPr>
        <xdr:cNvSpPr/>
      </xdr:nvSpPr>
      <xdr:spPr>
        <a:xfrm>
          <a:off x="5486400" y="498157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П-17 РИБА КОНЗЕРВА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21</xdr:row>
      <xdr:rowOff>0</xdr:rowOff>
    </xdr:from>
    <xdr:to>
      <xdr:col>12</xdr:col>
      <xdr:colOff>533400</xdr:colOff>
      <xdr:row>21</xdr:row>
      <xdr:rowOff>352425</xdr:rowOff>
    </xdr:to>
    <xdr:sp macro="" textlink="">
      <xdr:nvSpPr>
        <xdr:cNvPr id="79" name="Round Diagonal Corner Rectangle 78">
          <a:hlinkClick xmlns:r="http://schemas.openxmlformats.org/officeDocument/2006/relationships" r:id="rId19"/>
        </xdr:cNvPr>
        <xdr:cNvSpPr/>
      </xdr:nvSpPr>
      <xdr:spPr>
        <a:xfrm>
          <a:off x="5486400" y="541972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П-18 ВОЋЕ СВЕЖЕ ДОМАЋЕ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0</xdr:colOff>
      <xdr:row>16</xdr:row>
      <xdr:rowOff>0</xdr:rowOff>
    </xdr:from>
    <xdr:to>
      <xdr:col>16</xdr:col>
      <xdr:colOff>533400</xdr:colOff>
      <xdr:row>16</xdr:row>
      <xdr:rowOff>352425</xdr:rowOff>
    </xdr:to>
    <xdr:sp macro="" textlink="">
      <xdr:nvSpPr>
        <xdr:cNvPr id="81" name="Round Diagonal Corner Rectangle 80">
          <a:hlinkClick xmlns:r="http://schemas.openxmlformats.org/officeDocument/2006/relationships" r:id="rId20"/>
        </xdr:cNvPr>
        <xdr:cNvSpPr/>
      </xdr:nvSpPr>
      <xdr:spPr>
        <a:xfrm>
          <a:off x="7924800" y="322897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П-19 ВОЋЕ СВЕЖЕ ЈУЖНО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16</xdr:col>
      <xdr:colOff>533400</xdr:colOff>
      <xdr:row>17</xdr:row>
      <xdr:rowOff>352425</xdr:rowOff>
    </xdr:to>
    <xdr:sp macro="" textlink="">
      <xdr:nvSpPr>
        <xdr:cNvPr id="82" name="Round Diagonal Corner Rectangle 81">
          <a:hlinkClick xmlns:r="http://schemas.openxmlformats.org/officeDocument/2006/relationships" r:id="rId21"/>
        </xdr:cNvPr>
        <xdr:cNvSpPr/>
      </xdr:nvSpPr>
      <xdr:spPr>
        <a:xfrm>
          <a:off x="7924800" y="366712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П-20 ПОВРЋЕ СВЕЖЕ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0</xdr:colOff>
      <xdr:row>18</xdr:row>
      <xdr:rowOff>0</xdr:rowOff>
    </xdr:from>
    <xdr:to>
      <xdr:col>16</xdr:col>
      <xdr:colOff>533400</xdr:colOff>
      <xdr:row>18</xdr:row>
      <xdr:rowOff>352425</xdr:rowOff>
    </xdr:to>
    <xdr:sp macro="" textlink="">
      <xdr:nvSpPr>
        <xdr:cNvPr id="83" name="Round Diagonal Corner Rectangle 82">
          <a:hlinkClick xmlns:r="http://schemas.openxmlformats.org/officeDocument/2006/relationships" r:id="rId22"/>
        </xdr:cNvPr>
        <xdr:cNvSpPr/>
      </xdr:nvSpPr>
      <xdr:spPr>
        <a:xfrm>
          <a:off x="7924800" y="410527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П-21</a:t>
          </a:r>
          <a:r>
            <a:rPr lang="sr-Cyrl-RS" sz="1200" b="1" i="1" baseline="0">
              <a:solidFill>
                <a:schemeClr val="bg1"/>
              </a:solidFill>
            </a:rPr>
            <a:t> ПОВРЋЕ СМРЗНУТО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0</xdr:colOff>
      <xdr:row>19</xdr:row>
      <xdr:rowOff>0</xdr:rowOff>
    </xdr:from>
    <xdr:to>
      <xdr:col>16</xdr:col>
      <xdr:colOff>533400</xdr:colOff>
      <xdr:row>19</xdr:row>
      <xdr:rowOff>352425</xdr:rowOff>
    </xdr:to>
    <xdr:sp macro="" textlink="">
      <xdr:nvSpPr>
        <xdr:cNvPr id="85" name="Round Diagonal Corner Rectangle 84">
          <a:hlinkClick xmlns:r="http://schemas.openxmlformats.org/officeDocument/2006/relationships" r:id="rId23"/>
        </xdr:cNvPr>
        <xdr:cNvSpPr/>
      </xdr:nvSpPr>
      <xdr:spPr>
        <a:xfrm>
          <a:off x="7924800" y="454342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П-22</a:t>
          </a:r>
          <a:r>
            <a:rPr lang="sr-Cyrl-RS" sz="1200" b="1" i="1" baseline="0">
              <a:solidFill>
                <a:schemeClr val="bg1"/>
              </a:solidFill>
            </a:rPr>
            <a:t> ПОВРЋЕ И ВОЋЕ КОНЗЕРВА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16</xdr:col>
      <xdr:colOff>533400</xdr:colOff>
      <xdr:row>20</xdr:row>
      <xdr:rowOff>352425</xdr:rowOff>
    </xdr:to>
    <xdr:sp macro="" textlink="">
      <xdr:nvSpPr>
        <xdr:cNvPr id="87" name="Round Diagonal Corner Rectangle 86">
          <a:hlinkClick xmlns:r="http://schemas.openxmlformats.org/officeDocument/2006/relationships" r:id="rId24"/>
        </xdr:cNvPr>
        <xdr:cNvSpPr/>
      </xdr:nvSpPr>
      <xdr:spPr>
        <a:xfrm>
          <a:off x="7924800" y="498157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П-23</a:t>
          </a:r>
          <a:r>
            <a:rPr lang="sr-Cyrl-RS" sz="1200" b="1" i="1" baseline="0">
              <a:solidFill>
                <a:schemeClr val="bg1"/>
              </a:solidFill>
            </a:rPr>
            <a:t> ВОЋЕ СМРЗНУТО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0</xdr:colOff>
      <xdr:row>21</xdr:row>
      <xdr:rowOff>0</xdr:rowOff>
    </xdr:from>
    <xdr:to>
      <xdr:col>16</xdr:col>
      <xdr:colOff>533400</xdr:colOff>
      <xdr:row>21</xdr:row>
      <xdr:rowOff>352425</xdr:rowOff>
    </xdr:to>
    <xdr:sp macro="" textlink="">
      <xdr:nvSpPr>
        <xdr:cNvPr id="89" name="Round Diagonal Corner Rectangle 88">
          <a:hlinkClick xmlns:r="http://schemas.openxmlformats.org/officeDocument/2006/relationships" r:id="rId25"/>
        </xdr:cNvPr>
        <xdr:cNvSpPr/>
      </xdr:nvSpPr>
      <xdr:spPr>
        <a:xfrm>
          <a:off x="7924800" y="541972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П-24 КУПУС КИСЕЛИ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20</xdr:col>
      <xdr:colOff>533400</xdr:colOff>
      <xdr:row>16</xdr:row>
      <xdr:rowOff>352425</xdr:rowOff>
    </xdr:to>
    <xdr:sp macro="" textlink="">
      <xdr:nvSpPr>
        <xdr:cNvPr id="91" name="Round Diagonal Corner Rectangle 90">
          <a:hlinkClick xmlns:r="http://schemas.openxmlformats.org/officeDocument/2006/relationships" r:id="rId26"/>
        </xdr:cNvPr>
        <xdr:cNvSpPr/>
      </xdr:nvSpPr>
      <xdr:spPr>
        <a:xfrm>
          <a:off x="10363200" y="322897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П-25 ЈАЈА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17</xdr:col>
      <xdr:colOff>0</xdr:colOff>
      <xdr:row>17</xdr:row>
      <xdr:rowOff>0</xdr:rowOff>
    </xdr:from>
    <xdr:to>
      <xdr:col>20</xdr:col>
      <xdr:colOff>533400</xdr:colOff>
      <xdr:row>17</xdr:row>
      <xdr:rowOff>352425</xdr:rowOff>
    </xdr:to>
    <xdr:sp macro="" textlink="">
      <xdr:nvSpPr>
        <xdr:cNvPr id="93" name="Round Diagonal Corner Rectangle 92">
          <a:hlinkClick xmlns:r="http://schemas.openxmlformats.org/officeDocument/2006/relationships" r:id="rId27"/>
        </xdr:cNvPr>
        <xdr:cNvSpPr/>
      </xdr:nvSpPr>
      <xdr:spPr>
        <a:xfrm>
          <a:off x="10363200" y="366712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П-26 КОЛОНИЈАЛНА РОБА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20</xdr:col>
      <xdr:colOff>533400</xdr:colOff>
      <xdr:row>18</xdr:row>
      <xdr:rowOff>352425</xdr:rowOff>
    </xdr:to>
    <xdr:sp macro="" textlink="">
      <xdr:nvSpPr>
        <xdr:cNvPr id="94" name="Round Diagonal Corner Rectangle 93">
          <a:hlinkClick xmlns:r="http://schemas.openxmlformats.org/officeDocument/2006/relationships" r:id="rId28"/>
        </xdr:cNvPr>
        <xdr:cNvSpPr/>
      </xdr:nvSpPr>
      <xdr:spPr>
        <a:xfrm>
          <a:off x="10363200" y="410527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П-27 КАФА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17</xdr:col>
      <xdr:colOff>0</xdr:colOff>
      <xdr:row>19</xdr:row>
      <xdr:rowOff>0</xdr:rowOff>
    </xdr:from>
    <xdr:to>
      <xdr:col>20</xdr:col>
      <xdr:colOff>533400</xdr:colOff>
      <xdr:row>19</xdr:row>
      <xdr:rowOff>352425</xdr:rowOff>
    </xdr:to>
    <xdr:sp macro="" textlink="">
      <xdr:nvSpPr>
        <xdr:cNvPr id="96" name="Round Diagonal Corner Rectangle 95"/>
        <xdr:cNvSpPr/>
      </xdr:nvSpPr>
      <xdr:spPr>
        <a:xfrm>
          <a:off x="10363200" y="454342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П-28 СОКОВИ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17</xdr:col>
      <xdr:colOff>0</xdr:colOff>
      <xdr:row>20</xdr:row>
      <xdr:rowOff>0</xdr:rowOff>
    </xdr:from>
    <xdr:to>
      <xdr:col>20</xdr:col>
      <xdr:colOff>533400</xdr:colOff>
      <xdr:row>20</xdr:row>
      <xdr:rowOff>352425</xdr:rowOff>
    </xdr:to>
    <xdr:sp macro="" textlink="">
      <xdr:nvSpPr>
        <xdr:cNvPr id="97" name="Round Diagonal Corner Rectangle 96">
          <a:hlinkClick xmlns:r="http://schemas.openxmlformats.org/officeDocument/2006/relationships" r:id="rId29"/>
        </xdr:cNvPr>
        <xdr:cNvSpPr/>
      </xdr:nvSpPr>
      <xdr:spPr>
        <a:xfrm>
          <a:off x="10363200" y="498157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17</xdr:col>
      <xdr:colOff>0</xdr:colOff>
      <xdr:row>21</xdr:row>
      <xdr:rowOff>0</xdr:rowOff>
    </xdr:from>
    <xdr:to>
      <xdr:col>20</xdr:col>
      <xdr:colOff>533400</xdr:colOff>
      <xdr:row>21</xdr:row>
      <xdr:rowOff>352425</xdr:rowOff>
    </xdr:to>
    <xdr:sp macro="" textlink="">
      <xdr:nvSpPr>
        <xdr:cNvPr id="99" name="Round Diagonal Corner Rectangle 98">
          <a:hlinkClick xmlns:r="http://schemas.openxmlformats.org/officeDocument/2006/relationships" r:id="rId29"/>
        </xdr:cNvPr>
        <xdr:cNvSpPr/>
      </xdr:nvSpPr>
      <xdr:spPr>
        <a:xfrm>
          <a:off x="10363200" y="541972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4</xdr:col>
      <xdr:colOff>533400</xdr:colOff>
      <xdr:row>24</xdr:row>
      <xdr:rowOff>161925</xdr:rowOff>
    </xdr:to>
    <xdr:sp macro="" textlink="">
      <xdr:nvSpPr>
        <xdr:cNvPr id="34" name="Round Diagonal Corner Rectangle 33">
          <a:hlinkClick xmlns:r="http://schemas.openxmlformats.org/officeDocument/2006/relationships" r:id="rId30"/>
        </xdr:cNvPr>
        <xdr:cNvSpPr/>
      </xdr:nvSpPr>
      <xdr:spPr>
        <a:xfrm>
          <a:off x="609600" y="604837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ПОДАЦИ</a:t>
          </a:r>
          <a:r>
            <a:rPr lang="sr-Cyrl-RS" sz="1200" b="1" i="1" baseline="0">
              <a:solidFill>
                <a:schemeClr val="bg1"/>
              </a:solidFill>
            </a:rPr>
            <a:t> О ПОНУЂАЧУ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4</xdr:col>
      <xdr:colOff>533400</xdr:colOff>
      <xdr:row>27</xdr:row>
      <xdr:rowOff>161925</xdr:rowOff>
    </xdr:to>
    <xdr:sp macro="" textlink="">
      <xdr:nvSpPr>
        <xdr:cNvPr id="36" name="Round Diagonal Corner Rectangle 35">
          <a:hlinkClick xmlns:r="http://schemas.openxmlformats.org/officeDocument/2006/relationships" r:id="rId30"/>
        </xdr:cNvPr>
        <xdr:cNvSpPr/>
      </xdr:nvSpPr>
      <xdr:spPr>
        <a:xfrm>
          <a:off x="609600" y="661987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ПОДАЦИ</a:t>
          </a:r>
          <a:r>
            <a:rPr lang="sr-Cyrl-RS" sz="1200" b="1" i="1" baseline="0">
              <a:solidFill>
                <a:schemeClr val="bg1"/>
              </a:solidFill>
            </a:rPr>
            <a:t> О ПОДИЗВОЂАЧУ</a:t>
          </a: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8</xdr:col>
      <xdr:colOff>533400</xdr:colOff>
      <xdr:row>24</xdr:row>
      <xdr:rowOff>161925</xdr:rowOff>
    </xdr:to>
    <xdr:sp macro="" textlink="">
      <xdr:nvSpPr>
        <xdr:cNvPr id="38" name="Round Diagonal Corner Rectangle 37">
          <a:hlinkClick xmlns:r="http://schemas.openxmlformats.org/officeDocument/2006/relationships" r:id="rId31"/>
        </xdr:cNvPr>
        <xdr:cNvSpPr/>
      </xdr:nvSpPr>
      <xdr:spPr>
        <a:xfrm>
          <a:off x="3048000" y="6048375"/>
          <a:ext cx="2362200" cy="352425"/>
        </a:xfrm>
        <a:prstGeom prst="round2DiagRect">
          <a:avLst/>
        </a:prstGeom>
        <a:solidFill>
          <a:srgbClr val="6C00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800" b="1" i="1">
              <a:solidFill>
                <a:schemeClr val="bg1"/>
              </a:solidFill>
            </a:rPr>
            <a:t>ПОДАЦИ</a:t>
          </a:r>
          <a:r>
            <a:rPr lang="sr-Cyrl-RS" sz="800" b="1" i="1" baseline="0">
              <a:solidFill>
                <a:schemeClr val="bg1"/>
              </a:solidFill>
            </a:rPr>
            <a:t> О УЧЕСНИКУ ЗАЈЕДНИЧКА ПОНУДА</a:t>
          </a:r>
          <a:endParaRPr lang="en-US" sz="8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1047750</xdr:colOff>
      <xdr:row>29</xdr:row>
      <xdr:rowOff>19050</xdr:rowOff>
    </xdr:from>
    <xdr:to>
      <xdr:col>11</xdr:col>
      <xdr:colOff>1095375</xdr:colOff>
      <xdr:row>30</xdr:row>
      <xdr:rowOff>180975</xdr:rowOff>
    </xdr:to>
    <xdr:sp macro="" textlink="">
      <xdr:nvSpPr>
        <xdr:cNvPr id="4" name="Round Diagonal Corner Rectangle 3">
          <a:hlinkClick xmlns:r="http://schemas.openxmlformats.org/officeDocument/2006/relationships" r:id="rId1"/>
        </xdr:cNvPr>
        <xdr:cNvSpPr/>
      </xdr:nvSpPr>
      <xdr:spPr>
        <a:xfrm>
          <a:off x="11487150" y="6781800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1038225</xdr:colOff>
      <xdr:row>30</xdr:row>
      <xdr:rowOff>19050</xdr:rowOff>
    </xdr:from>
    <xdr:to>
      <xdr:col>11</xdr:col>
      <xdr:colOff>1085850</xdr:colOff>
      <xdr:row>31</xdr:row>
      <xdr:rowOff>180975</xdr:rowOff>
    </xdr:to>
    <xdr:sp macro="" textlink="">
      <xdr:nvSpPr>
        <xdr:cNvPr id="3" name="Round Diagonal Corner Rectangle 2">
          <a:hlinkClick xmlns:r="http://schemas.openxmlformats.org/officeDocument/2006/relationships" r:id="rId1"/>
        </xdr:cNvPr>
        <xdr:cNvSpPr/>
      </xdr:nvSpPr>
      <xdr:spPr>
        <a:xfrm>
          <a:off x="11477625" y="8020050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1009650</xdr:colOff>
      <xdr:row>26</xdr:row>
      <xdr:rowOff>0</xdr:rowOff>
    </xdr:from>
    <xdr:to>
      <xdr:col>11</xdr:col>
      <xdr:colOff>1057275</xdr:colOff>
      <xdr:row>27</xdr:row>
      <xdr:rowOff>161925</xdr:rowOff>
    </xdr:to>
    <xdr:sp macro="" textlink="">
      <xdr:nvSpPr>
        <xdr:cNvPr id="5" name="Round Diagonal Corner Rectangle 4">
          <a:hlinkClick xmlns:r="http://schemas.openxmlformats.org/officeDocument/2006/relationships" r:id="rId1"/>
        </xdr:cNvPr>
        <xdr:cNvSpPr/>
      </xdr:nvSpPr>
      <xdr:spPr>
        <a:xfrm>
          <a:off x="11449050" y="6000750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1028700</xdr:colOff>
      <xdr:row>24</xdr:row>
      <xdr:rowOff>180975</xdr:rowOff>
    </xdr:from>
    <xdr:to>
      <xdr:col>11</xdr:col>
      <xdr:colOff>1076325</xdr:colOff>
      <xdr:row>26</xdr:row>
      <xdr:rowOff>152400</xdr:rowOff>
    </xdr:to>
    <xdr:sp macro="" textlink="">
      <xdr:nvSpPr>
        <xdr:cNvPr id="3" name="Round Diagonal Corner Rectangle 2">
          <a:hlinkClick xmlns:r="http://schemas.openxmlformats.org/officeDocument/2006/relationships" r:id="rId1"/>
        </xdr:cNvPr>
        <xdr:cNvSpPr/>
      </xdr:nvSpPr>
      <xdr:spPr>
        <a:xfrm>
          <a:off x="11468100" y="5419725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1009650</xdr:colOff>
      <xdr:row>27</xdr:row>
      <xdr:rowOff>76200</xdr:rowOff>
    </xdr:from>
    <xdr:to>
      <xdr:col>11</xdr:col>
      <xdr:colOff>1057275</xdr:colOff>
      <xdr:row>29</xdr:row>
      <xdr:rowOff>47625</xdr:rowOff>
    </xdr:to>
    <xdr:sp macro="" textlink="">
      <xdr:nvSpPr>
        <xdr:cNvPr id="4" name="Round Diagonal Corner Rectangle 3">
          <a:hlinkClick xmlns:r="http://schemas.openxmlformats.org/officeDocument/2006/relationships" r:id="rId1"/>
        </xdr:cNvPr>
        <xdr:cNvSpPr/>
      </xdr:nvSpPr>
      <xdr:spPr>
        <a:xfrm>
          <a:off x="11449050" y="6505575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971550</xdr:colOff>
      <xdr:row>28</xdr:row>
      <xdr:rowOff>38100</xdr:rowOff>
    </xdr:from>
    <xdr:to>
      <xdr:col>11</xdr:col>
      <xdr:colOff>1019175</xdr:colOff>
      <xdr:row>30</xdr:row>
      <xdr:rowOff>9525</xdr:rowOff>
    </xdr:to>
    <xdr:sp macro="" textlink="">
      <xdr:nvSpPr>
        <xdr:cNvPr id="3" name="Round Diagonal Corner Rectangle 2">
          <a:hlinkClick xmlns:r="http://schemas.openxmlformats.org/officeDocument/2006/relationships" r:id="rId1"/>
        </xdr:cNvPr>
        <xdr:cNvSpPr/>
      </xdr:nvSpPr>
      <xdr:spPr>
        <a:xfrm>
          <a:off x="11410950" y="6467475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1047750</xdr:colOff>
      <xdr:row>29</xdr:row>
      <xdr:rowOff>9525</xdr:rowOff>
    </xdr:from>
    <xdr:to>
      <xdr:col>11</xdr:col>
      <xdr:colOff>1095375</xdr:colOff>
      <xdr:row>30</xdr:row>
      <xdr:rowOff>171450</xdr:rowOff>
    </xdr:to>
    <xdr:sp macro="" textlink="">
      <xdr:nvSpPr>
        <xdr:cNvPr id="4" name="Round Diagonal Corner Rectangle 3">
          <a:hlinkClick xmlns:r="http://schemas.openxmlformats.org/officeDocument/2006/relationships" r:id="rId1"/>
        </xdr:cNvPr>
        <xdr:cNvSpPr/>
      </xdr:nvSpPr>
      <xdr:spPr>
        <a:xfrm>
          <a:off x="11487150" y="6248400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1000125</xdr:colOff>
      <xdr:row>24</xdr:row>
      <xdr:rowOff>152400</xdr:rowOff>
    </xdr:from>
    <xdr:to>
      <xdr:col>11</xdr:col>
      <xdr:colOff>1047750</xdr:colOff>
      <xdr:row>26</xdr:row>
      <xdr:rowOff>123825</xdr:rowOff>
    </xdr:to>
    <xdr:sp macro="" textlink="">
      <xdr:nvSpPr>
        <xdr:cNvPr id="4" name="Round Diagonal Corner Rectangle 3">
          <a:hlinkClick xmlns:r="http://schemas.openxmlformats.org/officeDocument/2006/relationships" r:id="rId1"/>
        </xdr:cNvPr>
        <xdr:cNvSpPr/>
      </xdr:nvSpPr>
      <xdr:spPr>
        <a:xfrm>
          <a:off x="11439525" y="7677150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1000125</xdr:colOff>
      <xdr:row>25</xdr:row>
      <xdr:rowOff>171450</xdr:rowOff>
    </xdr:from>
    <xdr:to>
      <xdr:col>11</xdr:col>
      <xdr:colOff>1047750</xdr:colOff>
      <xdr:row>27</xdr:row>
      <xdr:rowOff>142875</xdr:rowOff>
    </xdr:to>
    <xdr:sp macro="" textlink="">
      <xdr:nvSpPr>
        <xdr:cNvPr id="4" name="Round Diagonal Corner Rectangle 3">
          <a:hlinkClick xmlns:r="http://schemas.openxmlformats.org/officeDocument/2006/relationships" r:id="rId1"/>
        </xdr:cNvPr>
        <xdr:cNvSpPr/>
      </xdr:nvSpPr>
      <xdr:spPr>
        <a:xfrm>
          <a:off x="11439525" y="5600700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1009650</xdr:colOff>
      <xdr:row>24</xdr:row>
      <xdr:rowOff>0</xdr:rowOff>
    </xdr:from>
    <xdr:to>
      <xdr:col>11</xdr:col>
      <xdr:colOff>1057275</xdr:colOff>
      <xdr:row>25</xdr:row>
      <xdr:rowOff>161925</xdr:rowOff>
    </xdr:to>
    <xdr:sp macro="" textlink="">
      <xdr:nvSpPr>
        <xdr:cNvPr id="4" name="Round Diagonal Corner Rectangle 3">
          <a:hlinkClick xmlns:r="http://schemas.openxmlformats.org/officeDocument/2006/relationships" r:id="rId1"/>
        </xdr:cNvPr>
        <xdr:cNvSpPr/>
      </xdr:nvSpPr>
      <xdr:spPr>
        <a:xfrm>
          <a:off x="11449050" y="4905375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295276</xdr:colOff>
      <xdr:row>1</xdr:row>
      <xdr:rowOff>0</xdr:rowOff>
    </xdr:from>
    <xdr:to>
      <xdr:col>3</xdr:col>
      <xdr:colOff>76201</xdr:colOff>
      <xdr:row>6</xdr:row>
      <xdr:rowOff>164145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190500"/>
          <a:ext cx="1276350" cy="1297620"/>
        </a:xfrm>
        <a:prstGeom prst="rect">
          <a:avLst/>
        </a:prstGeom>
      </xdr:spPr>
    </xdr:pic>
    <xdr:clientData/>
  </xdr:twoCellAnchor>
  <xdr:twoCellAnchor>
    <xdr:from>
      <xdr:col>13</xdr:col>
      <xdr:colOff>66675</xdr:colOff>
      <xdr:row>50</xdr:row>
      <xdr:rowOff>76200</xdr:rowOff>
    </xdr:from>
    <xdr:to>
      <xdr:col>16</xdr:col>
      <xdr:colOff>600075</xdr:colOff>
      <xdr:row>52</xdr:row>
      <xdr:rowOff>47625</xdr:rowOff>
    </xdr:to>
    <xdr:sp macro="" textlink="">
      <xdr:nvSpPr>
        <xdr:cNvPr id="5" name="Round Diagonal Corner Rectangle 4">
          <a:hlinkClick xmlns:r="http://schemas.openxmlformats.org/officeDocument/2006/relationships" r:id="rId2"/>
        </xdr:cNvPr>
        <xdr:cNvSpPr/>
      </xdr:nvSpPr>
      <xdr:spPr>
        <a:xfrm>
          <a:off x="7658100" y="12525375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971550</xdr:colOff>
      <xdr:row>26</xdr:row>
      <xdr:rowOff>180975</xdr:rowOff>
    </xdr:from>
    <xdr:to>
      <xdr:col>11</xdr:col>
      <xdr:colOff>1019175</xdr:colOff>
      <xdr:row>28</xdr:row>
      <xdr:rowOff>152400</xdr:rowOff>
    </xdr:to>
    <xdr:sp macro="" textlink="">
      <xdr:nvSpPr>
        <xdr:cNvPr id="5" name="Round Diagonal Corner Rectangle 4">
          <a:hlinkClick xmlns:r="http://schemas.openxmlformats.org/officeDocument/2006/relationships" r:id="rId1"/>
        </xdr:cNvPr>
        <xdr:cNvSpPr/>
      </xdr:nvSpPr>
      <xdr:spPr>
        <a:xfrm>
          <a:off x="11410950" y="5991225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23</xdr:row>
      <xdr:rowOff>0</xdr:rowOff>
    </xdr:from>
    <xdr:to>
      <xdr:col>11</xdr:col>
      <xdr:colOff>1038225</xdr:colOff>
      <xdr:row>24</xdr:row>
      <xdr:rowOff>123825</xdr:rowOff>
    </xdr:to>
    <xdr:sp macro="" textlink="">
      <xdr:nvSpPr>
        <xdr:cNvPr id="2" name="Round Diagonal Corner Rectangle 1">
          <a:hlinkClick xmlns:r="http://schemas.openxmlformats.org/officeDocument/2006/relationships" r:id="rId1"/>
        </xdr:cNvPr>
        <xdr:cNvSpPr/>
      </xdr:nvSpPr>
      <xdr:spPr>
        <a:xfrm>
          <a:off x="12753975" y="4905375"/>
          <a:ext cx="1038225" cy="314325"/>
        </a:xfrm>
        <a:prstGeom prst="round2DiagRect">
          <a:avLst/>
        </a:prstGeom>
        <a:solidFill>
          <a:srgbClr val="6699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100" b="1" i="0"/>
            <a:t>НАЗАД</a:t>
          </a:r>
          <a:endParaRPr lang="en-US" sz="1100" b="1" i="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1047750</xdr:colOff>
      <xdr:row>33</xdr:row>
      <xdr:rowOff>0</xdr:rowOff>
    </xdr:from>
    <xdr:to>
      <xdr:col>11</xdr:col>
      <xdr:colOff>1095375</xdr:colOff>
      <xdr:row>34</xdr:row>
      <xdr:rowOff>161925</xdr:rowOff>
    </xdr:to>
    <xdr:sp macro="" textlink="">
      <xdr:nvSpPr>
        <xdr:cNvPr id="3" name="Round Diagonal Corner Rectangle 2">
          <a:hlinkClick xmlns:r="http://schemas.openxmlformats.org/officeDocument/2006/relationships" r:id="rId1"/>
        </xdr:cNvPr>
        <xdr:cNvSpPr/>
      </xdr:nvSpPr>
      <xdr:spPr>
        <a:xfrm>
          <a:off x="11487150" y="6810375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1000125</xdr:colOff>
      <xdr:row>30</xdr:row>
      <xdr:rowOff>0</xdr:rowOff>
    </xdr:from>
    <xdr:to>
      <xdr:col>11</xdr:col>
      <xdr:colOff>1047750</xdr:colOff>
      <xdr:row>31</xdr:row>
      <xdr:rowOff>161925</xdr:rowOff>
    </xdr:to>
    <xdr:sp macro="" textlink="">
      <xdr:nvSpPr>
        <xdr:cNvPr id="3" name="Round Diagonal Corner Rectangle 2">
          <a:hlinkClick xmlns:r="http://schemas.openxmlformats.org/officeDocument/2006/relationships" r:id="rId1"/>
        </xdr:cNvPr>
        <xdr:cNvSpPr/>
      </xdr:nvSpPr>
      <xdr:spPr>
        <a:xfrm>
          <a:off x="11439525" y="6248400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1000125</xdr:colOff>
      <xdr:row>42</xdr:row>
      <xdr:rowOff>0</xdr:rowOff>
    </xdr:from>
    <xdr:to>
      <xdr:col>11</xdr:col>
      <xdr:colOff>1047750</xdr:colOff>
      <xdr:row>43</xdr:row>
      <xdr:rowOff>161925</xdr:rowOff>
    </xdr:to>
    <xdr:sp macro="" textlink="">
      <xdr:nvSpPr>
        <xdr:cNvPr id="3" name="Round Diagonal Corner Rectangle 2">
          <a:hlinkClick xmlns:r="http://schemas.openxmlformats.org/officeDocument/2006/relationships" r:id="rId1"/>
        </xdr:cNvPr>
        <xdr:cNvSpPr/>
      </xdr:nvSpPr>
      <xdr:spPr>
        <a:xfrm>
          <a:off x="11439525" y="9525000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1038225</xdr:colOff>
      <xdr:row>26</xdr:row>
      <xdr:rowOff>47625</xdr:rowOff>
    </xdr:from>
    <xdr:to>
      <xdr:col>11</xdr:col>
      <xdr:colOff>1085850</xdr:colOff>
      <xdr:row>28</xdr:row>
      <xdr:rowOff>19050</xdr:rowOff>
    </xdr:to>
    <xdr:sp macro="" textlink="">
      <xdr:nvSpPr>
        <xdr:cNvPr id="3" name="Round Diagonal Corner Rectangle 2">
          <a:hlinkClick xmlns:r="http://schemas.openxmlformats.org/officeDocument/2006/relationships" r:id="rId1"/>
        </xdr:cNvPr>
        <xdr:cNvSpPr/>
      </xdr:nvSpPr>
      <xdr:spPr>
        <a:xfrm>
          <a:off x="11477625" y="6619875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885825</xdr:colOff>
      <xdr:row>29</xdr:row>
      <xdr:rowOff>0</xdr:rowOff>
    </xdr:from>
    <xdr:to>
      <xdr:col>11</xdr:col>
      <xdr:colOff>933450</xdr:colOff>
      <xdr:row>30</xdr:row>
      <xdr:rowOff>161925</xdr:rowOff>
    </xdr:to>
    <xdr:sp macro="" textlink="">
      <xdr:nvSpPr>
        <xdr:cNvPr id="2" name="Round Diagonal Corner Rectangle 1">
          <a:hlinkClick xmlns:r="http://schemas.openxmlformats.org/officeDocument/2006/relationships" r:id="rId1"/>
        </xdr:cNvPr>
        <xdr:cNvSpPr/>
      </xdr:nvSpPr>
      <xdr:spPr>
        <a:xfrm>
          <a:off x="11325225" y="6953250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895350</xdr:colOff>
      <xdr:row>23</xdr:row>
      <xdr:rowOff>66675</xdr:rowOff>
    </xdr:from>
    <xdr:to>
      <xdr:col>11</xdr:col>
      <xdr:colOff>942975</xdr:colOff>
      <xdr:row>25</xdr:row>
      <xdr:rowOff>38100</xdr:rowOff>
    </xdr:to>
    <xdr:sp macro="" textlink="">
      <xdr:nvSpPr>
        <xdr:cNvPr id="3" name="Round Diagonal Corner Rectangle 2">
          <a:hlinkClick xmlns:r="http://schemas.openxmlformats.org/officeDocument/2006/relationships" r:id="rId1"/>
        </xdr:cNvPr>
        <xdr:cNvSpPr/>
      </xdr:nvSpPr>
      <xdr:spPr>
        <a:xfrm>
          <a:off x="11334750" y="4781550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1000125</xdr:colOff>
      <xdr:row>21</xdr:row>
      <xdr:rowOff>142875</xdr:rowOff>
    </xdr:from>
    <xdr:to>
      <xdr:col>11</xdr:col>
      <xdr:colOff>1047750</xdr:colOff>
      <xdr:row>23</xdr:row>
      <xdr:rowOff>114300</xdr:rowOff>
    </xdr:to>
    <xdr:sp macro="" textlink="">
      <xdr:nvSpPr>
        <xdr:cNvPr id="2" name="Round Diagonal Corner Rectangle 1">
          <a:hlinkClick xmlns:r="http://schemas.openxmlformats.org/officeDocument/2006/relationships" r:id="rId1"/>
        </xdr:cNvPr>
        <xdr:cNvSpPr/>
      </xdr:nvSpPr>
      <xdr:spPr>
        <a:xfrm>
          <a:off x="11439525" y="4619625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971550</xdr:colOff>
      <xdr:row>22</xdr:row>
      <xdr:rowOff>171450</xdr:rowOff>
    </xdr:from>
    <xdr:to>
      <xdr:col>11</xdr:col>
      <xdr:colOff>1019175</xdr:colOff>
      <xdr:row>24</xdr:row>
      <xdr:rowOff>142875</xdr:rowOff>
    </xdr:to>
    <xdr:sp macro="" textlink="">
      <xdr:nvSpPr>
        <xdr:cNvPr id="2" name="Round Diagonal Corner Rectangle 1">
          <a:hlinkClick xmlns:r="http://schemas.openxmlformats.org/officeDocument/2006/relationships" r:id="rId1"/>
        </xdr:cNvPr>
        <xdr:cNvSpPr/>
      </xdr:nvSpPr>
      <xdr:spPr>
        <a:xfrm>
          <a:off x="11410950" y="4695825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295276</xdr:colOff>
      <xdr:row>1</xdr:row>
      <xdr:rowOff>0</xdr:rowOff>
    </xdr:from>
    <xdr:to>
      <xdr:col>3</xdr:col>
      <xdr:colOff>76201</xdr:colOff>
      <xdr:row>6</xdr:row>
      <xdr:rowOff>164145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190500"/>
          <a:ext cx="1276350" cy="1297620"/>
        </a:xfrm>
        <a:prstGeom prst="rect">
          <a:avLst/>
        </a:prstGeom>
      </xdr:spPr>
    </xdr:pic>
    <xdr:clientData/>
  </xdr:twoCellAnchor>
  <xdr:twoCellAnchor>
    <xdr:from>
      <xdr:col>11</xdr:col>
      <xdr:colOff>333375</xdr:colOff>
      <xdr:row>45</xdr:row>
      <xdr:rowOff>76200</xdr:rowOff>
    </xdr:from>
    <xdr:to>
      <xdr:col>15</xdr:col>
      <xdr:colOff>257175</xdr:colOff>
      <xdr:row>47</xdr:row>
      <xdr:rowOff>47625</xdr:rowOff>
    </xdr:to>
    <xdr:sp macro="" textlink="">
      <xdr:nvSpPr>
        <xdr:cNvPr id="5" name="Round Diagonal Corner Rectangle 4">
          <a:hlinkClick xmlns:r="http://schemas.openxmlformats.org/officeDocument/2006/relationships" r:id="rId2"/>
        </xdr:cNvPr>
        <xdr:cNvSpPr/>
      </xdr:nvSpPr>
      <xdr:spPr>
        <a:xfrm>
          <a:off x="6705600" y="11515725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942975</xdr:colOff>
      <xdr:row>61</xdr:row>
      <xdr:rowOff>104775</xdr:rowOff>
    </xdr:from>
    <xdr:to>
      <xdr:col>11</xdr:col>
      <xdr:colOff>990600</xdr:colOff>
      <xdr:row>63</xdr:row>
      <xdr:rowOff>76200</xdr:rowOff>
    </xdr:to>
    <xdr:sp macro="" textlink="">
      <xdr:nvSpPr>
        <xdr:cNvPr id="2" name="Round Diagonal Corner Rectangle 1">
          <a:hlinkClick xmlns:r="http://schemas.openxmlformats.org/officeDocument/2006/relationships" r:id="rId1"/>
        </xdr:cNvPr>
        <xdr:cNvSpPr/>
      </xdr:nvSpPr>
      <xdr:spPr>
        <a:xfrm>
          <a:off x="11382375" y="16202025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933450</xdr:colOff>
      <xdr:row>24</xdr:row>
      <xdr:rowOff>76200</xdr:rowOff>
    </xdr:from>
    <xdr:to>
      <xdr:col>11</xdr:col>
      <xdr:colOff>981075</xdr:colOff>
      <xdr:row>26</xdr:row>
      <xdr:rowOff>47625</xdr:rowOff>
    </xdr:to>
    <xdr:sp macro="" textlink="">
      <xdr:nvSpPr>
        <xdr:cNvPr id="3" name="Round Diagonal Corner Rectangle 2">
          <a:hlinkClick xmlns:r="http://schemas.openxmlformats.org/officeDocument/2006/relationships" r:id="rId1"/>
        </xdr:cNvPr>
        <xdr:cNvSpPr/>
      </xdr:nvSpPr>
      <xdr:spPr>
        <a:xfrm>
          <a:off x="11372850" y="5172075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295276</xdr:colOff>
      <xdr:row>1</xdr:row>
      <xdr:rowOff>0</xdr:rowOff>
    </xdr:from>
    <xdr:to>
      <xdr:col>3</xdr:col>
      <xdr:colOff>76201</xdr:colOff>
      <xdr:row>6</xdr:row>
      <xdr:rowOff>164145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190500"/>
          <a:ext cx="1276350" cy="1297620"/>
        </a:xfrm>
        <a:prstGeom prst="rect">
          <a:avLst/>
        </a:prstGeom>
      </xdr:spPr>
    </xdr:pic>
    <xdr:clientData/>
  </xdr:twoCellAnchor>
  <xdr:twoCellAnchor>
    <xdr:from>
      <xdr:col>11</xdr:col>
      <xdr:colOff>523875</xdr:colOff>
      <xdr:row>45</xdr:row>
      <xdr:rowOff>19050</xdr:rowOff>
    </xdr:from>
    <xdr:to>
      <xdr:col>15</xdr:col>
      <xdr:colOff>447675</xdr:colOff>
      <xdr:row>46</xdr:row>
      <xdr:rowOff>180975</xdr:rowOff>
    </xdr:to>
    <xdr:sp macro="" textlink="">
      <xdr:nvSpPr>
        <xdr:cNvPr id="7" name="Round Diagonal Corner Rectangle 6">
          <a:hlinkClick xmlns:r="http://schemas.openxmlformats.org/officeDocument/2006/relationships" r:id="rId2"/>
        </xdr:cNvPr>
        <xdr:cNvSpPr/>
      </xdr:nvSpPr>
      <xdr:spPr>
        <a:xfrm>
          <a:off x="6896100" y="11458575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962025</xdr:colOff>
      <xdr:row>24</xdr:row>
      <xdr:rowOff>133350</xdr:rowOff>
    </xdr:from>
    <xdr:to>
      <xdr:col>11</xdr:col>
      <xdr:colOff>1009650</xdr:colOff>
      <xdr:row>26</xdr:row>
      <xdr:rowOff>104775</xdr:rowOff>
    </xdr:to>
    <xdr:sp macro="" textlink="">
      <xdr:nvSpPr>
        <xdr:cNvPr id="7" name="Round Diagonal Corner Rectangle 6">
          <a:hlinkClick xmlns:r="http://schemas.openxmlformats.org/officeDocument/2006/relationships" r:id="rId1"/>
        </xdr:cNvPr>
        <xdr:cNvSpPr/>
      </xdr:nvSpPr>
      <xdr:spPr>
        <a:xfrm>
          <a:off x="11401425" y="5562600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1114425</xdr:colOff>
      <xdr:row>27</xdr:row>
      <xdr:rowOff>114300</xdr:rowOff>
    </xdr:from>
    <xdr:to>
      <xdr:col>12</xdr:col>
      <xdr:colOff>47625</xdr:colOff>
      <xdr:row>29</xdr:row>
      <xdr:rowOff>85725</xdr:rowOff>
    </xdr:to>
    <xdr:sp macro="" textlink="">
      <xdr:nvSpPr>
        <xdr:cNvPr id="6" name="Round Diagonal Corner Rectangle 5">
          <a:hlinkClick xmlns:r="http://schemas.openxmlformats.org/officeDocument/2006/relationships" r:id="rId1"/>
        </xdr:cNvPr>
        <xdr:cNvSpPr/>
      </xdr:nvSpPr>
      <xdr:spPr>
        <a:xfrm>
          <a:off x="11553825" y="6115050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1047750</xdr:colOff>
      <xdr:row>23</xdr:row>
      <xdr:rowOff>57150</xdr:rowOff>
    </xdr:from>
    <xdr:to>
      <xdr:col>11</xdr:col>
      <xdr:colOff>1095375</xdr:colOff>
      <xdr:row>25</xdr:row>
      <xdr:rowOff>28575</xdr:rowOff>
    </xdr:to>
    <xdr:sp macro="" textlink="">
      <xdr:nvSpPr>
        <xdr:cNvPr id="6" name="Round Diagonal Corner Rectangle 5">
          <a:hlinkClick xmlns:r="http://schemas.openxmlformats.org/officeDocument/2006/relationships" r:id="rId1"/>
        </xdr:cNvPr>
        <xdr:cNvSpPr/>
      </xdr:nvSpPr>
      <xdr:spPr>
        <a:xfrm>
          <a:off x="11487150" y="5105400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962025</xdr:colOff>
      <xdr:row>28</xdr:row>
      <xdr:rowOff>9525</xdr:rowOff>
    </xdr:from>
    <xdr:to>
      <xdr:col>11</xdr:col>
      <xdr:colOff>1009650</xdr:colOff>
      <xdr:row>29</xdr:row>
      <xdr:rowOff>171450</xdr:rowOff>
    </xdr:to>
    <xdr:sp macro="" textlink="">
      <xdr:nvSpPr>
        <xdr:cNvPr id="3" name="Round Diagonal Corner Rectangle 2">
          <a:hlinkClick xmlns:r="http://schemas.openxmlformats.org/officeDocument/2006/relationships" r:id="rId1"/>
        </xdr:cNvPr>
        <xdr:cNvSpPr/>
      </xdr:nvSpPr>
      <xdr:spPr>
        <a:xfrm>
          <a:off x="11401425" y="6200775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1000125</xdr:colOff>
      <xdr:row>26</xdr:row>
      <xdr:rowOff>28575</xdr:rowOff>
    </xdr:from>
    <xdr:to>
      <xdr:col>11</xdr:col>
      <xdr:colOff>1047750</xdr:colOff>
      <xdr:row>28</xdr:row>
      <xdr:rowOff>0</xdr:rowOff>
    </xdr:to>
    <xdr:sp macro="" textlink="">
      <xdr:nvSpPr>
        <xdr:cNvPr id="4" name="Round Diagonal Corner Rectangle 3">
          <a:hlinkClick xmlns:r="http://schemas.openxmlformats.org/officeDocument/2006/relationships" r:id="rId1"/>
        </xdr:cNvPr>
        <xdr:cNvSpPr/>
      </xdr:nvSpPr>
      <xdr:spPr>
        <a:xfrm>
          <a:off x="11439525" y="5838825"/>
          <a:ext cx="2362200" cy="352425"/>
        </a:xfrm>
        <a:prstGeom prst="round2DiagRect">
          <a:avLst/>
        </a:prstGeom>
        <a:solidFill>
          <a:srgbClr val="6CA200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artDeco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r-Cyrl-RS" sz="1200" b="1" i="1">
              <a:solidFill>
                <a:schemeClr val="bg1"/>
              </a:solidFill>
            </a:rPr>
            <a:t>Н</a:t>
          </a:r>
          <a:r>
            <a:rPr lang="sr-Cyrl-RS" sz="1200" b="1" i="1" baseline="0">
              <a:solidFill>
                <a:schemeClr val="bg1"/>
              </a:solidFill>
            </a:rPr>
            <a:t> А З А Д</a:t>
          </a:r>
          <a:endParaRPr lang="en-US" sz="1200" b="1" i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3" name="Table161314" displayName="Table161314" ref="A5:L7" totalsRowShown="0" headerRowDxfId="391" dataDxfId="390">
  <autoFilter ref="A5:L7"/>
  <tableColumns count="12">
    <tableColumn id="1" name="Р. бр." dataDxfId="389"/>
    <tableColumn id="2" name="Назив артикла" dataDxfId="388"/>
    <tableColumn id="3" name="Опис артикла" dataDxfId="387"/>
    <tableColumn id="4" name="ЈМ" dataDxfId="386"/>
    <tableColumn id="5" name="Количина" dataDxfId="385"/>
    <tableColumn id="6" name="Цена по ЈМ без ПДВ – а" dataDxfId="384"/>
    <tableColumn id="7" name="Стопа ПДВ - а" dataDxfId="383"/>
    <tableColumn id="8" name="Укупна цена без ПДВ - а" dataDxfId="382">
      <calculatedColumnFormula>Table161314[[#This Row],[Количина]]*Table161314[[#This Row],[Цена по ЈМ без ПДВ – а]]</calculatedColumnFormula>
    </tableColumn>
    <tableColumn id="9" name="Укупно ПДВ" dataDxfId="381">
      <calculatedColumnFormula>Table161314[[#This Row],[Стопа ПДВ - а]]*Table161314[[#This Row],[Укупна цена без ПДВ - а]]</calculatedColumnFormula>
    </tableColumn>
    <tableColumn id="10" name="Укупна цена са ПДВ - ом" dataDxfId="380">
      <calculatedColumnFormula>Table161314[[#This Row],[Укупна цена без ПДВ - а]]+Table161314[[#This Row],[Укупно ПДВ]]</calculatedColumnFormula>
    </tableColumn>
    <tableColumn id="11" name="Комерционални назив" dataDxfId="379"/>
    <tableColumn id="12" name="Произвођач" dataDxfId="378"/>
  </tableColumns>
  <tableStyleInfo name="TableStyleMedium18" showFirstColumn="0" showLastColumn="0" showRowStripes="1" showColumnStripes="0"/>
</table>
</file>

<file path=xl/tables/table10.xml><?xml version="1.0" encoding="utf-8"?>
<table xmlns="http://schemas.openxmlformats.org/spreadsheetml/2006/main" id="25" name="Table161326" displayName="Table161326" ref="A5:L9" totalsRowShown="0" headerRowDxfId="265" dataDxfId="264">
  <autoFilter ref="A5:L9"/>
  <tableColumns count="12">
    <tableColumn id="1" name="Р. бр." dataDxfId="263"/>
    <tableColumn id="2" name="Назив артикла" dataDxfId="262"/>
    <tableColumn id="3" name="Опис артикла" dataDxfId="261"/>
    <tableColumn id="4" name="ЈМ" dataDxfId="260"/>
    <tableColumn id="5" name="Количина" dataDxfId="259"/>
    <tableColumn id="6" name="Цена по ЈМ без ПДВ – а" dataDxfId="258"/>
    <tableColumn id="7" name="Стопа ПДВ - а" dataDxfId="257"/>
    <tableColumn id="8" name="Укупна цена без ПДВ - а" dataDxfId="256">
      <calculatedColumnFormula>Table161326[[#This Row],[Количина]]*Table161326[[#This Row],[Цена по ЈМ без ПДВ – а]]</calculatedColumnFormula>
    </tableColumn>
    <tableColumn id="9" name="Укупно ПДВ" dataDxfId="255">
      <calculatedColumnFormula>Table161326[[#This Row],[Стопа ПДВ - а]]*Table161326[[#This Row],[Укупна цена без ПДВ - а]]</calculatedColumnFormula>
    </tableColumn>
    <tableColumn id="10" name="Укупна цена са ПДВ - ом" dataDxfId="254">
      <calculatedColumnFormula>Table161326[[#This Row],[Укупна цена без ПДВ - а]]+Table161326[[#This Row],[Укупно ПДВ]]</calculatedColumnFormula>
    </tableColumn>
    <tableColumn id="11" name="Комерционални назив" dataDxfId="253"/>
    <tableColumn id="12" name="Произвођач" dataDxfId="252"/>
  </tableColumns>
  <tableStyleInfo name="TableStyleMedium18" showFirstColumn="0" showLastColumn="0" showRowStripes="1" showColumnStripes="0"/>
</table>
</file>

<file path=xl/tables/table11.xml><?xml version="1.0" encoding="utf-8"?>
<table xmlns="http://schemas.openxmlformats.org/spreadsheetml/2006/main" id="26" name="Table161327" displayName="Table161327" ref="A5:L9" totalsRowShown="0" headerRowDxfId="251" dataDxfId="250">
  <autoFilter ref="A5:L9"/>
  <tableColumns count="12">
    <tableColumn id="1" name="Р. бр." dataDxfId="249"/>
    <tableColumn id="2" name="Назив артикла" dataDxfId="248"/>
    <tableColumn id="3" name="Опис артикла" dataDxfId="247"/>
    <tableColumn id="4" name="ЈМ" dataDxfId="246"/>
    <tableColumn id="5" name="Количина" dataDxfId="245"/>
    <tableColumn id="6" name="Цена по ЈМ без ПДВ – а" dataDxfId="244"/>
    <tableColumn id="7" name="Стопа ПДВ - а" dataDxfId="243"/>
    <tableColumn id="8" name="Укупна цена без ПДВ - а" dataDxfId="242">
      <calculatedColumnFormula>Table161327[[#This Row],[Количина]]*Table161327[[#This Row],[Цена по ЈМ без ПДВ – а]]</calculatedColumnFormula>
    </tableColumn>
    <tableColumn id="9" name="Укупно ПДВ" dataDxfId="241">
      <calculatedColumnFormula>Table161327[[#This Row],[Стопа ПДВ - а]]*Table161327[[#This Row],[Укупна цена без ПДВ - а]]</calculatedColumnFormula>
    </tableColumn>
    <tableColumn id="10" name="Укупна цена са ПДВ - ом" dataDxfId="240">
      <calculatedColumnFormula>Table161327[[#This Row],[Укупна цена без ПДВ - а]]+Table161327[[#This Row],[Укупно ПДВ]]</calculatedColumnFormula>
    </tableColumn>
    <tableColumn id="11" name="Комерционални назив" dataDxfId="239"/>
    <tableColumn id="12" name="Произвођач" dataDxfId="238"/>
  </tableColumns>
  <tableStyleInfo name="TableStyleMedium18" showFirstColumn="0" showLastColumn="0" showRowStripes="1" showColumnStripes="0"/>
</table>
</file>

<file path=xl/tables/table12.xml><?xml version="1.0" encoding="utf-8"?>
<table xmlns="http://schemas.openxmlformats.org/spreadsheetml/2006/main" id="29" name="Table161330" displayName="Table161330" ref="A5:L8" totalsRowShown="0" headerRowDxfId="237" dataDxfId="236">
  <autoFilter ref="A5:L8"/>
  <tableColumns count="12">
    <tableColumn id="1" name="Р. бр." dataDxfId="235"/>
    <tableColumn id="2" name="Назив артикла" dataDxfId="234"/>
    <tableColumn id="3" name="Опис артикла" dataDxfId="233"/>
    <tableColumn id="4" name="ЈМ" dataDxfId="232"/>
    <tableColumn id="5" name="Количина" dataDxfId="231"/>
    <tableColumn id="6" name="Цена по ЈМ без ПДВ – а" dataDxfId="230"/>
    <tableColumn id="7" name="Стопа ПДВ - а" dataDxfId="229"/>
    <tableColumn id="8" name="Укупна цена без ПДВ - а" dataDxfId="228">
      <calculatedColumnFormula>Table161330[[#This Row],[Количина]]*Table161330[[#This Row],[Цена по ЈМ без ПДВ – а]]</calculatedColumnFormula>
    </tableColumn>
    <tableColumn id="9" name="Укупно ПДВ" dataDxfId="227">
      <calculatedColumnFormula>Table161330[[#This Row],[Стопа ПДВ - а]]*Table161330[[#This Row],[Укупна цена без ПДВ - а]]</calculatedColumnFormula>
    </tableColumn>
    <tableColumn id="10" name="Укупна цена са ПДВ - ом" dataDxfId="226">
      <calculatedColumnFormula>Table161330[[#This Row],[Укупна цена без ПДВ - а]]+Table161330[[#This Row],[Укупно ПДВ]]</calculatedColumnFormula>
    </tableColumn>
    <tableColumn id="11" name="Комерционални назив" dataDxfId="225"/>
    <tableColumn id="12" name="Произвођач" dataDxfId="224"/>
  </tableColumns>
  <tableStyleInfo name="TableStyleMedium18" showFirstColumn="0" showLastColumn="0" showRowStripes="1" showColumnStripes="0"/>
</table>
</file>

<file path=xl/tables/table13.xml><?xml version="1.0" encoding="utf-8"?>
<table xmlns="http://schemas.openxmlformats.org/spreadsheetml/2006/main" id="34" name="Table161335" displayName="Table161335" ref="A5:L9" totalsRowShown="0" headerRowDxfId="223" dataDxfId="222">
  <autoFilter ref="A5:L9"/>
  <tableColumns count="12">
    <tableColumn id="1" name="Р. бр." dataDxfId="221"/>
    <tableColumn id="2" name="Назив артикла" dataDxfId="220"/>
    <tableColumn id="3" name="Опис артикла" dataDxfId="219"/>
    <tableColumn id="4" name="ЈМ" dataDxfId="218"/>
    <tableColumn id="5" name="Количина" dataDxfId="217"/>
    <tableColumn id="6" name="Цена по ЈМ без ПДВ – а" dataDxfId="216"/>
    <tableColumn id="7" name="Стопа ПДВ - а" dataDxfId="215"/>
    <tableColumn id="8" name="Укупна цена без ПДВ - а" dataDxfId="214">
      <calculatedColumnFormula>Table161335[[#This Row],[Количина]]*Table161335[[#This Row],[Цена по ЈМ без ПДВ – а]]</calculatedColumnFormula>
    </tableColumn>
    <tableColumn id="9" name="Укупно ПДВ" dataDxfId="213">
      <calculatedColumnFormula>Table161335[[#This Row],[Стопа ПДВ - а]]*Table161335[[#This Row],[Укупна цена без ПДВ - а]]</calculatedColumnFormula>
    </tableColumn>
    <tableColumn id="10" name="Укупна цена са ПДВ - ом" dataDxfId="212">
      <calculatedColumnFormula>Table161335[[#This Row],[Укупна цена без ПДВ - а]]+Table161335[[#This Row],[Укупно ПДВ]]</calculatedColumnFormula>
    </tableColumn>
    <tableColumn id="11" name="Комерционални назив" dataDxfId="211"/>
    <tableColumn id="12" name="Произвођач" dataDxfId="210"/>
  </tableColumns>
  <tableStyleInfo name="TableStyleMedium18" showFirstColumn="0" showLastColumn="0" showRowStripes="1" showColumnStripes="0"/>
</table>
</file>

<file path=xl/tables/table14.xml><?xml version="1.0" encoding="utf-8"?>
<table xmlns="http://schemas.openxmlformats.org/spreadsheetml/2006/main" id="32" name="Table161333" displayName="Table161333" ref="A5:L7" totalsRowShown="0" headerRowDxfId="209" dataDxfId="208">
  <autoFilter ref="A5:L7"/>
  <tableColumns count="12">
    <tableColumn id="1" name="Р. бр." dataDxfId="207"/>
    <tableColumn id="2" name="Назив артикла" dataDxfId="206"/>
    <tableColumn id="3" name="Опис артикла" dataDxfId="205"/>
    <tableColumn id="4" name="ЈМ" dataDxfId="204"/>
    <tableColumn id="5" name="Количина" dataDxfId="203"/>
    <tableColumn id="6" name="Цена по ЈМ без ПДВ – а" dataDxfId="202"/>
    <tableColumn id="7" name="Стопа ПДВ - а" dataDxfId="201"/>
    <tableColumn id="8" name="Укупна цена без ПДВ - а" dataDxfId="200">
      <calculatedColumnFormula>Table161333[[#This Row],[Количина]]*Table161333[[#This Row],[Цена по ЈМ без ПДВ – а]]</calculatedColumnFormula>
    </tableColumn>
    <tableColumn id="9" name="Укупно ПДВ" dataDxfId="199">
      <calculatedColumnFormula>Table161333[[#This Row],[Стопа ПДВ - а]]*Table161333[[#This Row],[Укупна цена без ПДВ - а]]</calculatedColumnFormula>
    </tableColumn>
    <tableColumn id="10" name="Укупна цена са ПДВ - ом" dataDxfId="198">
      <calculatedColumnFormula>Table161333[[#This Row],[Укупна цена без ПДВ - а]]+Table161333[[#This Row],[Укупно ПДВ]]</calculatedColumnFormula>
    </tableColumn>
    <tableColumn id="11" name="Комерционални назив" dataDxfId="197"/>
    <tableColumn id="12" name="Произвођач" dataDxfId="196"/>
  </tableColumns>
  <tableStyleInfo name="TableStyleMedium18" showFirstColumn="0" showLastColumn="0" showRowStripes="1" showColumnStripes="0"/>
</table>
</file>

<file path=xl/tables/table15.xml><?xml version="1.0" encoding="utf-8"?>
<table xmlns="http://schemas.openxmlformats.org/spreadsheetml/2006/main" id="35" name="Table161336" displayName="Table161336" ref="A5:L6" totalsRowShown="0" headerRowDxfId="195" dataDxfId="194">
  <autoFilter ref="A5:L6"/>
  <tableColumns count="12">
    <tableColumn id="1" name="Р. бр." dataDxfId="193"/>
    <tableColumn id="2" name="Назив артикла" dataDxfId="192"/>
    <tableColumn id="3" name="Опис артикла" dataDxfId="191"/>
    <tableColumn id="4" name="ЈМ" dataDxfId="190"/>
    <tableColumn id="5" name="Количина" dataDxfId="189"/>
    <tableColumn id="6" name="Цена по ЈМ без ПДВ – а" dataDxfId="188"/>
    <tableColumn id="7" name="Стопа ПДВ - а" dataDxfId="187"/>
    <tableColumn id="8" name="Укупна цена без ПДВ - а" dataDxfId="186">
      <calculatedColumnFormula>Table161336[[#This Row],[Количина]]*Table161336[[#This Row],[Цена по ЈМ без ПДВ – а]]</calculatedColumnFormula>
    </tableColumn>
    <tableColumn id="9" name="Укупно ПДВ" dataDxfId="185">
      <calculatedColumnFormula>Table161336[[#This Row],[Стопа ПДВ - а]]*Table161336[[#This Row],[Укупна цена без ПДВ - а]]</calculatedColumnFormula>
    </tableColumn>
    <tableColumn id="10" name="Укупна цена са ПДВ - ом" dataDxfId="184">
      <calculatedColumnFormula>Table161336[[#This Row],[Укупна цена без ПДВ - а]]+Table161336[[#This Row],[Укупно ПДВ]]</calculatedColumnFormula>
    </tableColumn>
    <tableColumn id="11" name="Комерционални назив" dataDxfId="183"/>
    <tableColumn id="12" name="Произвођач" dataDxfId="182"/>
  </tableColumns>
  <tableStyleInfo name="TableStyleMedium18" showFirstColumn="0" showLastColumn="0" showRowStripes="1" showColumnStripes="0"/>
</table>
</file>

<file path=xl/tables/table16.xml><?xml version="1.0" encoding="utf-8"?>
<table xmlns="http://schemas.openxmlformats.org/spreadsheetml/2006/main" id="38" name="Table161339" displayName="Table161339" ref="A5:L7" totalsRowShown="0" headerRowDxfId="181" dataDxfId="180">
  <autoFilter ref="A5:L7"/>
  <tableColumns count="12">
    <tableColumn id="1" name="Р. бр." dataDxfId="179"/>
    <tableColumn id="2" name="Назив артикла" dataDxfId="178"/>
    <tableColumn id="3" name="Опис артикла" dataDxfId="177"/>
    <tableColumn id="4" name="ЈМ" dataDxfId="176"/>
    <tableColumn id="5" name="Количина" dataDxfId="175"/>
    <tableColumn id="6" name="Цена по ЈМ без ПДВ – а" dataDxfId="174"/>
    <tableColumn id="7" name="Стопа ПДВ - а" dataDxfId="173"/>
    <tableColumn id="8" name="Укупна цена без ПДВ - а" dataDxfId="172">
      <calculatedColumnFormula>Table161339[[#This Row],[Количина]]*Table161339[[#This Row],[Цена по ЈМ без ПДВ – а]]</calculatedColumnFormula>
    </tableColumn>
    <tableColumn id="9" name="Укупно ПДВ" dataDxfId="171">
      <calculatedColumnFormula>Table161339[[#This Row],[Стопа ПДВ - а]]*Table161339[[#This Row],[Укупна цена без ПДВ - а]]</calculatedColumnFormula>
    </tableColumn>
    <tableColumn id="10" name="Укупна цена са ПДВ - ом" dataDxfId="170">
      <calculatedColumnFormula>Table161339[[#This Row],[Укупна цена без ПДВ - а]]+Table161339[[#This Row],[Укупно ПДВ]]</calculatedColumnFormula>
    </tableColumn>
    <tableColumn id="11" name="Комерционални назив" dataDxfId="169"/>
    <tableColumn id="12" name="Произвођач" dataDxfId="168"/>
  </tableColumns>
  <tableStyleInfo name="TableStyleMedium18" showFirstColumn="0" showLastColumn="0" showRowStripes="1" showColumnStripes="0"/>
</table>
</file>

<file path=xl/tables/table17.xml><?xml version="1.0" encoding="utf-8"?>
<table xmlns="http://schemas.openxmlformats.org/spreadsheetml/2006/main" id="2" name="Table16133" displayName="Table16133" ref="A5:L7" totalsRowShown="0" headerRowDxfId="167" dataDxfId="166">
  <autoFilter ref="A5:L7"/>
  <tableColumns count="12">
    <tableColumn id="1" name="Р. бр." dataDxfId="165"/>
    <tableColumn id="2" name="Назив артикла" dataDxfId="164"/>
    <tableColumn id="3" name="Опис артикла" dataDxfId="163"/>
    <tableColumn id="4" name="ЈМ" dataDxfId="162"/>
    <tableColumn id="5" name="Количина" dataDxfId="161"/>
    <tableColumn id="6" name="Цена по ЈМ без ПДВ – а" dataDxfId="160"/>
    <tableColumn id="7" name="Стопа ПДВ - а" dataDxfId="159"/>
    <tableColumn id="8" name="Укупна цена без ПДВ - а" dataDxfId="158">
      <calculatedColumnFormula>Table16133[[#This Row],[Количина]]*Table16133[[#This Row],[Цена по ЈМ без ПДВ – а]]</calculatedColumnFormula>
    </tableColumn>
    <tableColumn id="9" name="Укупно ПДВ" dataDxfId="157">
      <calculatedColumnFormula>Table16133[[#This Row],[Стопа ПДВ - а]]*Table16133[[#This Row],[Укупна цена без ПДВ - а]]</calculatedColumnFormula>
    </tableColumn>
    <tableColumn id="10" name="Укупна цена са ПДВ - ом" dataDxfId="156">
      <calculatedColumnFormula>Table16133[[#This Row],[Укупна цена без ПДВ - а]]+Table16133[[#This Row],[Укупно ПДВ]]</calculatedColumnFormula>
    </tableColumn>
    <tableColumn id="11" name="Комерционални назив" dataDxfId="155"/>
    <tableColumn id="12" name="Произвођач" dataDxfId="154"/>
  </tableColumns>
  <tableStyleInfo name="TableStyleMedium18" showFirstColumn="0" showLastColumn="0" showRowStripes="1" showColumnStripes="0"/>
</table>
</file>

<file path=xl/tables/table18.xml><?xml version="1.0" encoding="utf-8"?>
<table xmlns="http://schemas.openxmlformats.org/spreadsheetml/2006/main" id="3" name="Table16134" displayName="Table16134" ref="A5:L10" totalsRowShown="0" headerRowDxfId="153" dataDxfId="152">
  <autoFilter ref="A5:L10"/>
  <tableColumns count="12">
    <tableColumn id="1" name="Р. бр." dataDxfId="151"/>
    <tableColumn id="2" name="Назив артикла" dataDxfId="150"/>
    <tableColumn id="3" name="Опис артикла" dataDxfId="149"/>
    <tableColumn id="4" name="ЈМ" dataDxfId="148"/>
    <tableColumn id="5" name="Количина" dataDxfId="147"/>
    <tableColumn id="6" name="Цена по ЈМ без ПДВ – а" dataDxfId="146"/>
    <tableColumn id="7" name="Стопа ПДВ - а" dataDxfId="145"/>
    <tableColumn id="8" name="Укупна цена без ПДВ - а" dataDxfId="144">
      <calculatedColumnFormula>Table16134[[#This Row],[Количина]]*Table16134[[#This Row],[Цена по ЈМ без ПДВ – а]]</calculatedColumnFormula>
    </tableColumn>
    <tableColumn id="9" name="Укупно ПДВ" dataDxfId="143">
      <calculatedColumnFormula>Table16134[[#This Row],[Стопа ПДВ - а]]*Table16134[[#This Row],[Укупна цена без ПДВ - а]]</calculatedColumnFormula>
    </tableColumn>
    <tableColumn id="10" name="Укупна цена са ПДВ - ом" dataDxfId="142">
      <calculatedColumnFormula>Table16134[[#This Row],[Укупна цена без ПДВ - а]]+Table16134[[#This Row],[Укупно ПДВ]]</calculatedColumnFormula>
    </tableColumn>
    <tableColumn id="11" name="Комерционални назив" dataDxfId="141"/>
    <tableColumn id="12" name="Произвођач" dataDxfId="140"/>
  </tableColumns>
  <tableStyleInfo name="TableStyleMedium18" showFirstColumn="0" showLastColumn="0" showRowStripes="1" showColumnStripes="0"/>
</table>
</file>

<file path=xl/tables/table19.xml><?xml version="1.0" encoding="utf-8"?>
<table xmlns="http://schemas.openxmlformats.org/spreadsheetml/2006/main" id="7" name="Table16138" displayName="Table16138" ref="A5:L10" totalsRowShown="0" headerRowDxfId="139" dataDxfId="138">
  <autoFilter ref="A5:L10"/>
  <tableColumns count="12">
    <tableColumn id="1" name="Р. бр." dataDxfId="137"/>
    <tableColumn id="2" name="Назив артикла" dataDxfId="136"/>
    <tableColumn id="3" name="Опис артикла" dataDxfId="135"/>
    <tableColumn id="4" name="ЈМ" dataDxfId="134"/>
    <tableColumn id="5" name="Количина" dataDxfId="133"/>
    <tableColumn id="6" name="Цена по ЈМ без ПДВ – а" dataDxfId="132"/>
    <tableColumn id="7" name="Стопа ПДВ - а" dataDxfId="131"/>
    <tableColumn id="8" name="Укупна цена без ПДВ - а" dataDxfId="130">
      <calculatedColumnFormula>Table16138[[#This Row],[Количина]]*Table16138[[#This Row],[Цена по ЈМ без ПДВ – а]]</calculatedColumnFormula>
    </tableColumn>
    <tableColumn id="9" name="Укупно ПДВ" dataDxfId="129">
      <calculatedColumnFormula>Table16138[[#This Row],[Стопа ПДВ - а]]*Table16138[[#This Row],[Укупна цена без ПДВ - а]]</calculatedColumnFormula>
    </tableColumn>
    <tableColumn id="10" name="Укупна цена са ПДВ - ом" dataDxfId="128">
      <calculatedColumnFormula>Table16138[[#This Row],[Укупна цена без ПДВ - а]]+Table16138[[#This Row],[Укупно ПДВ]]</calculatedColumnFormula>
    </tableColumn>
    <tableColumn id="11" name="Комерционални назив" dataDxfId="127"/>
    <tableColumn id="12" name="Произвођач" dataDxfId="126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14" name="Table161315" displayName="Table161315" ref="A5:L6" totalsRowShown="0" headerRowDxfId="377" dataDxfId="376">
  <autoFilter ref="A5:L6"/>
  <tableColumns count="12">
    <tableColumn id="1" name="Р. бр." dataDxfId="375"/>
    <tableColumn id="2" name="Назив артикла" dataDxfId="374"/>
    <tableColumn id="3" name="Опис артикла" dataDxfId="373"/>
    <tableColumn id="4" name="ЈМ" dataDxfId="372"/>
    <tableColumn id="5" name="Количина" dataDxfId="371"/>
    <tableColumn id="6" name="Цена по ЈМ без ПДВ – а" dataDxfId="370"/>
    <tableColumn id="7" name="Стопа ПДВ - а" dataDxfId="369"/>
    <tableColumn id="8" name="Укупна цена без ПДВ - а" dataDxfId="368">
      <calculatedColumnFormula>Table161315[[#This Row],[Количина]]*Table161315[[#This Row],[Цена по ЈМ без ПДВ – а]]</calculatedColumnFormula>
    </tableColumn>
    <tableColumn id="9" name="Укупно ПДВ" dataDxfId="367">
      <calculatedColumnFormula>Table161315[[#This Row],[Стопа ПДВ - а]]*Table161315[[#This Row],[Укупна цена без ПДВ - а]]</calculatedColumnFormula>
    </tableColumn>
    <tableColumn id="10" name="Укупна цена са ПДВ - ом" dataDxfId="366">
      <calculatedColumnFormula>Table161315[[#This Row],[Укупна цена без ПДВ - а]]+Table161315[[#This Row],[Укупно ПДВ]]</calculatedColumnFormula>
    </tableColumn>
    <tableColumn id="11" name="Комерционални назив" dataDxfId="365"/>
    <tableColumn id="12" name="Произвођач" dataDxfId="364"/>
  </tableColumns>
  <tableStyleInfo name="TableStyleMedium18" showFirstColumn="0" showLastColumn="0" showRowStripes="1" showColumnStripes="0"/>
</table>
</file>

<file path=xl/tables/table20.xml><?xml version="1.0" encoding="utf-8"?>
<table xmlns="http://schemas.openxmlformats.org/spreadsheetml/2006/main" id="5" name="Table16136" displayName="Table16136" ref="A5:L26" totalsRowShown="0" headerRowDxfId="125" dataDxfId="124">
  <autoFilter ref="A5:L26"/>
  <tableColumns count="12">
    <tableColumn id="1" name="Р. бр." dataDxfId="123"/>
    <tableColumn id="2" name="Назив артикла" dataDxfId="122"/>
    <tableColumn id="3" name="Опис артикла" dataDxfId="121"/>
    <tableColumn id="4" name="ЈМ" dataDxfId="120"/>
    <tableColumn id="5" name="Количина" dataDxfId="119"/>
    <tableColumn id="6" name="Цена по ЈМ без ПДВ – а" dataDxfId="118"/>
    <tableColumn id="7" name="Стопа ПДВ - а" dataDxfId="117"/>
    <tableColumn id="8" name="Укупна цена без ПДВ - а" dataDxfId="116">
      <calculatedColumnFormula>Table16136[[#This Row],[Количина]]*Table16136[[#This Row],[Цена по ЈМ без ПДВ – а]]</calculatedColumnFormula>
    </tableColumn>
    <tableColumn id="9" name="Укупно ПДВ" dataDxfId="115">
      <calculatedColumnFormula>Table16136[[#This Row],[Стопа ПДВ - а]]*Table16136[[#This Row],[Укупна цена без ПДВ - а]]</calculatedColumnFormula>
    </tableColumn>
    <tableColumn id="10" name="Укупна цена са ПДВ - ом" dataDxfId="114">
      <calculatedColumnFormula>Table16136[[#This Row],[Укупна цена без ПДВ - а]]+Table16136[[#This Row],[Укупно ПДВ]]</calculatedColumnFormula>
    </tableColumn>
    <tableColumn id="11" name="Комерционални назив" dataDxfId="113"/>
    <tableColumn id="12" name="Произвођач" dataDxfId="112"/>
  </tableColumns>
  <tableStyleInfo name="TableStyleMedium18" showFirstColumn="0" showLastColumn="0" showRowStripes="1" showColumnStripes="0"/>
</table>
</file>

<file path=xl/tables/table21.xml><?xml version="1.0" encoding="utf-8"?>
<table xmlns="http://schemas.openxmlformats.org/spreadsheetml/2006/main" id="8" name="Table16139" displayName="Table16139" ref="A5:L10" totalsRowShown="0" headerRowDxfId="111" dataDxfId="110">
  <autoFilter ref="A5:L10"/>
  <tableColumns count="12">
    <tableColumn id="1" name="Р. бр." dataDxfId="109"/>
    <tableColumn id="2" name="Назив артикла" dataDxfId="108"/>
    <tableColumn id="3" name="Опис артикла" dataDxfId="107"/>
    <tableColumn id="4" name="ЈМ" dataDxfId="106"/>
    <tableColumn id="5" name="Количина" dataDxfId="105"/>
    <tableColumn id="6" name="Цена по ЈМ без ПДВ – а" dataDxfId="104"/>
    <tableColumn id="7" name="Стопа ПДВ - а" dataDxfId="103"/>
    <tableColumn id="8" name="Укупна цена без ПДВ - а" dataDxfId="102">
      <calculatedColumnFormula>Table16139[[#This Row],[Количина]]*Table16139[[#This Row],[Цена по ЈМ без ПДВ – а]]</calculatedColumnFormula>
    </tableColumn>
    <tableColumn id="9" name="Укупно ПДВ" dataDxfId="101">
      <calculatedColumnFormula>Table16139[[#This Row],[Стопа ПДВ - а]]*Table16139[[#This Row],[Укупна цена без ПДВ - а]]</calculatedColumnFormula>
    </tableColumn>
    <tableColumn id="10" name="Укупна цена са ПДВ - ом" dataDxfId="100">
      <calculatedColumnFormula>Table16139[[#This Row],[Укупна цена без ПДВ - а]]+Table16139[[#This Row],[Укупно ПДВ]]</calculatedColumnFormula>
    </tableColumn>
    <tableColumn id="11" name="Комерционални назив" dataDxfId="99"/>
    <tableColumn id="12" name="Произвођач" dataDxfId="98"/>
  </tableColumns>
  <tableStyleInfo name="TableStyleMedium18" showFirstColumn="0" showLastColumn="0" showRowStripes="1" showColumnStripes="0"/>
</table>
</file>

<file path=xl/tables/table22.xml><?xml version="1.0" encoding="utf-8"?>
<table xmlns="http://schemas.openxmlformats.org/spreadsheetml/2006/main" id="9" name="Table161310" displayName="Table161310" ref="A5:L13" totalsRowShown="0" headerRowDxfId="97" dataDxfId="96">
  <autoFilter ref="A5:L13"/>
  <tableColumns count="12">
    <tableColumn id="1" name="Р. бр." dataDxfId="95"/>
    <tableColumn id="2" name="Назив артикла" dataDxfId="94"/>
    <tableColumn id="3" name="Опис артикла" dataDxfId="93"/>
    <tableColumn id="4" name="ЈМ" dataDxfId="92"/>
    <tableColumn id="5" name="Количина" dataDxfId="91"/>
    <tableColumn id="6" name="Цена по ЈМ без ПДВ – а" dataDxfId="90"/>
    <tableColumn id="7" name="Стопа ПДВ - а" dataDxfId="89"/>
    <tableColumn id="8" name="Укупна цена без ПДВ - а" dataDxfId="88">
      <calculatedColumnFormula>Table161310[[#This Row],[Количина]]*Table161310[[#This Row],[Цена по ЈМ без ПДВ – а]]</calculatedColumnFormula>
    </tableColumn>
    <tableColumn id="9" name="Укупно ПДВ" dataDxfId="87">
      <calculatedColumnFormula>Table161310[[#This Row],[Стопа ПДВ - а]]*Table161310[[#This Row],[Укупна цена без ПДВ - а]]</calculatedColumnFormula>
    </tableColumn>
    <tableColumn id="10" name="Укупна цена са ПДВ - ом" dataDxfId="86">
      <calculatedColumnFormula>Table161310[[#This Row],[Укупна цена без ПДВ - а]]+Table161310[[#This Row],[Укупно ПДВ]]</calculatedColumnFormula>
    </tableColumn>
    <tableColumn id="11" name="Комерционални назив" dataDxfId="85"/>
    <tableColumn id="12" name="Произвођач" dataDxfId="84"/>
  </tableColumns>
  <tableStyleInfo name="TableStyleMedium18" showFirstColumn="0" showLastColumn="0" showRowStripes="1" showColumnStripes="0"/>
</table>
</file>

<file path=xl/tables/table23.xml><?xml version="1.0" encoding="utf-8"?>
<table xmlns="http://schemas.openxmlformats.org/spreadsheetml/2006/main" id="10" name="Table161311" displayName="Table161311" ref="A5:L6" totalsRowShown="0" headerRowDxfId="83" dataDxfId="82">
  <autoFilter ref="A5:L6"/>
  <tableColumns count="12">
    <tableColumn id="1" name="Р. бр." dataDxfId="81"/>
    <tableColumn id="2" name="Назив артикла" dataDxfId="80"/>
    <tableColumn id="3" name="Опис артикла" dataDxfId="79"/>
    <tableColumn id="4" name="ЈМ" dataDxfId="78"/>
    <tableColumn id="5" name="Количина" dataDxfId="77"/>
    <tableColumn id="6" name="Цена по ЈМ без ПДВ – а" dataDxfId="76"/>
    <tableColumn id="7" name="Стопа ПДВ - а" dataDxfId="75"/>
    <tableColumn id="8" name="Укупна цена без ПДВ - а" dataDxfId="74">
      <calculatedColumnFormula>Table161311[[#This Row],[Количина]]*Table161311[[#This Row],[Цена по ЈМ без ПДВ – а]]</calculatedColumnFormula>
    </tableColumn>
    <tableColumn id="9" name="Укупно ПДВ" dataDxfId="73">
      <calculatedColumnFormula>Table161311[[#This Row],[Стопа ПДВ - а]]*Table161311[[#This Row],[Укупна цена без ПДВ - а]]</calculatedColumnFormula>
    </tableColumn>
    <tableColumn id="10" name="Укупна цена са ПДВ - ом" dataDxfId="72">
      <calculatedColumnFormula>Table161311[[#This Row],[Укупна цена без ПДВ - а]]+Table161311[[#This Row],[Укупно ПДВ]]</calculatedColumnFormula>
    </tableColumn>
    <tableColumn id="11" name="Комерционални назив" dataDxfId="71"/>
    <tableColumn id="12" name="Произвођач" dataDxfId="70"/>
  </tableColumns>
  <tableStyleInfo name="TableStyleMedium18" showFirstColumn="0" showLastColumn="0" showRowStripes="1" showColumnStripes="0"/>
</table>
</file>

<file path=xl/tables/table24.xml><?xml version="1.0" encoding="utf-8"?>
<table xmlns="http://schemas.openxmlformats.org/spreadsheetml/2006/main" id="19" name="Table161320" displayName="Table161320" ref="A5:L6" totalsRowShown="0" headerRowDxfId="69" dataDxfId="68">
  <autoFilter ref="A5:L6"/>
  <tableColumns count="12">
    <tableColumn id="1" name="Р. бр." dataDxfId="67"/>
    <tableColumn id="2" name="Назив артикла" dataDxfId="66"/>
    <tableColumn id="3" name="Опис артикла" dataDxfId="65"/>
    <tableColumn id="4" name="ЈМ" dataDxfId="64"/>
    <tableColumn id="5" name="Количина" dataDxfId="63"/>
    <tableColumn id="6" name="Цена по ЈМ без ПДВ – а" dataDxfId="62"/>
    <tableColumn id="7" name="Стопа ПДВ - а" dataDxfId="61"/>
    <tableColumn id="8" name="Укупна цена без ПДВ - а" dataDxfId="60">
      <calculatedColumnFormula>Table161320[[#This Row],[Количина]]*Table161320[[#This Row],[Цена по ЈМ без ПДВ – а]]</calculatedColumnFormula>
    </tableColumn>
    <tableColumn id="9" name="Укупно ПДВ" dataDxfId="59">
      <calculatedColumnFormula>Table161320[[#This Row],[Стопа ПДВ - а]]*Table161320[[#This Row],[Укупна цена без ПДВ - а]]</calculatedColumnFormula>
    </tableColumn>
    <tableColumn id="10" name="Укупна цена са ПДВ - ом" dataDxfId="58">
      <calculatedColumnFormula>Table161320[[#This Row],[Укупна цена без ПДВ - а]]+Table161320[[#This Row],[Укупно ПДВ]]</calculatedColumnFormula>
    </tableColumn>
    <tableColumn id="11" name="Комерционални назив" dataDxfId="57"/>
    <tableColumn id="12" name="Произвођач" dataDxfId="56"/>
  </tableColumns>
  <tableStyleInfo name="TableStyleMedium18" showFirstColumn="0" showLastColumn="0" showRowStripes="1" showColumnStripes="0"/>
</table>
</file>

<file path=xl/tables/table25.xml><?xml version="1.0" encoding="utf-8"?>
<table xmlns="http://schemas.openxmlformats.org/spreadsheetml/2006/main" id="24" name="Table16132025" displayName="Table16132025" ref="A5:L6" totalsRowShown="0" headerRowDxfId="55" dataDxfId="54">
  <autoFilter ref="A5:L6"/>
  <tableColumns count="12">
    <tableColumn id="1" name="Р. бр." dataDxfId="53"/>
    <tableColumn id="2" name="Назив артикла" dataDxfId="52"/>
    <tableColumn id="3" name="Опис артикла" dataDxfId="51"/>
    <tableColumn id="4" name="ЈМ" dataDxfId="50"/>
    <tableColumn id="5" name="Количина" dataDxfId="49"/>
    <tableColumn id="6" name="Цена по ЈМ без ПДВ – а" dataDxfId="48"/>
    <tableColumn id="7" name="Стопа ПДВ - а" dataDxfId="47"/>
    <tableColumn id="8" name="Укупна цена без ПДВ - а" dataDxfId="46">
      <calculatedColumnFormula>Table16132025[[#This Row],[Количина]]*Table16132025[[#This Row],[Цена по ЈМ без ПДВ – а]]</calculatedColumnFormula>
    </tableColumn>
    <tableColumn id="9" name="Укупно ПДВ" dataDxfId="45">
      <calculatedColumnFormula>Table16132025[[#This Row],[Стопа ПДВ - а]]*Table16132025[[#This Row],[Укупна цена без ПДВ - а]]</calculatedColumnFormula>
    </tableColumn>
    <tableColumn id="10" name="Укупна цена са ПДВ - ом" dataDxfId="44">
      <calculatedColumnFormula>Table16132025[[#This Row],[Укупна цена без ПДВ - а]]+Table16132025[[#This Row],[Укупно ПДВ]]</calculatedColumnFormula>
    </tableColumn>
    <tableColumn id="11" name="Комерционални назив" dataDxfId="43"/>
    <tableColumn id="12" name="Произвођач" dataDxfId="42"/>
  </tableColumns>
  <tableStyleInfo name="TableStyleMedium18" showFirstColumn="0" showLastColumn="0" showRowStripes="1" showColumnStripes="0"/>
</table>
</file>

<file path=xl/tables/table26.xml><?xml version="1.0" encoding="utf-8"?>
<table xmlns="http://schemas.openxmlformats.org/spreadsheetml/2006/main" id="27" name="Table161328" displayName="Table161328" ref="A5:L46" totalsRowShown="0" headerRowDxfId="41" dataDxfId="40">
  <autoFilter ref="A5:L46"/>
  <tableColumns count="12">
    <tableColumn id="1" name="Р. бр." dataDxfId="39"/>
    <tableColumn id="2" name="Назив артикла" dataDxfId="38"/>
    <tableColumn id="3" name="Опис артикла" dataDxfId="37"/>
    <tableColumn id="4" name="ЈМ" dataDxfId="36"/>
    <tableColumn id="5" name="Количина" dataDxfId="35"/>
    <tableColumn id="6" name="Цена по ЈМ без ПДВ – а" dataDxfId="34"/>
    <tableColumn id="7" name="Стопа ПДВ - а" dataDxfId="33"/>
    <tableColumn id="8" name="Укупна цена без ПДВ - а" dataDxfId="32">
      <calculatedColumnFormula>Table161328[[#This Row],[Количина]]*Table161328[[#This Row],[Цена по ЈМ без ПДВ – а]]</calculatedColumnFormula>
    </tableColumn>
    <tableColumn id="9" name="Укупно ПДВ" dataDxfId="31">
      <calculatedColumnFormula>Table161328[[#This Row],[Стопа ПДВ - а]]*Table161328[[#This Row],[Укупна цена без ПДВ - а]]</calculatedColumnFormula>
    </tableColumn>
    <tableColumn id="10" name="Укупна цена са ПДВ - ом" dataDxfId="30">
      <calculatedColumnFormula>Table161328[[#This Row],[Укупна цена без ПДВ - а]]+Table161328[[#This Row],[Укупно ПДВ]]</calculatedColumnFormula>
    </tableColumn>
    <tableColumn id="11" name="Комерционални назив" dataDxfId="29"/>
    <tableColumn id="12" name="Произвођач" dataDxfId="28"/>
  </tableColumns>
  <tableStyleInfo name="TableStyleMedium18" showFirstColumn="0" showLastColumn="0" showRowStripes="1" showColumnStripes="0"/>
</table>
</file>

<file path=xl/tables/table27.xml><?xml version="1.0" encoding="utf-8"?>
<table xmlns="http://schemas.openxmlformats.org/spreadsheetml/2006/main" id="30" name="Table161331" displayName="Table161331" ref="A5:L7" totalsRowShown="0" headerRowDxfId="27" dataDxfId="26">
  <autoFilter ref="A5:L7"/>
  <tableColumns count="12">
    <tableColumn id="1" name="Р. бр." dataDxfId="25"/>
    <tableColumn id="2" name="Назив артикла" dataDxfId="24"/>
    <tableColumn id="3" name="Опис артикла" dataDxfId="23"/>
    <tableColumn id="4" name="ЈМ" dataDxfId="22"/>
    <tableColumn id="5" name="Количина" dataDxfId="21"/>
    <tableColumn id="6" name="Цена по ЈМ без ПДВ – а" dataDxfId="20"/>
    <tableColumn id="7" name="Стопа ПДВ - а" dataDxfId="19"/>
    <tableColumn id="8" name="Укупна цена без ПДВ - а" dataDxfId="18">
      <calculatedColumnFormula>Table161331[[#This Row],[Количина]]*Table161331[[#This Row],[Цена по ЈМ без ПДВ – а]]</calculatedColumnFormula>
    </tableColumn>
    <tableColumn id="9" name="Укупно ПДВ" dataDxfId="17">
      <calculatedColumnFormula>Table161331[[#This Row],[Стопа ПДВ - а]]*Table161331[[#This Row],[Укупна цена без ПДВ - а]]</calculatedColumnFormula>
    </tableColumn>
    <tableColumn id="10" name="Укупна цена са ПДВ - ом" dataDxfId="16">
      <calculatedColumnFormula>Table161331[[#This Row],[Укупна цена без ПДВ - а]]+Table161331[[#This Row],[Укупно ПДВ]]</calculatedColumnFormula>
    </tableColumn>
    <tableColumn id="11" name="Комерционални назив" dataDxfId="15"/>
    <tableColumn id="12" name="Произвођач" dataDxfId="14"/>
  </tableColumns>
  <tableStyleInfo name="TableStyleMedium18" showFirstColumn="0" showLastColumn="0" showRowStripes="1" showColumnStripes="0"/>
</table>
</file>

<file path=xl/tables/table28.xml><?xml version="1.0" encoding="utf-8"?>
<table xmlns="http://schemas.openxmlformats.org/spreadsheetml/2006/main" id="31" name="Table161332" displayName="Table161332" ref="A5:L15" totalsRowShown="0" headerRowDxfId="13" dataDxfId="12">
  <autoFilter ref="A5:L15"/>
  <tableColumns count="12">
    <tableColumn id="1" name="Р. бр." dataDxfId="11"/>
    <tableColumn id="2" name="Назив артикла" dataDxfId="10"/>
    <tableColumn id="3" name="Опис артикла" dataDxfId="9"/>
    <tableColumn id="4" name="ЈМ" dataDxfId="8"/>
    <tableColumn id="5" name="Количина" dataDxfId="7"/>
    <tableColumn id="6" name="Цена по ЈМ без ПДВ – а" dataDxfId="6"/>
    <tableColumn id="7" name="Стопа ПДВ - а" dataDxfId="5"/>
    <tableColumn id="8" name="Укупна цена без ПДВ - а" dataDxfId="4">
      <calculatedColumnFormula>Table161332[[#This Row],[Количина]]*Table161332[[#This Row],[Цена по ЈМ без ПДВ – а]]</calculatedColumnFormula>
    </tableColumn>
    <tableColumn id="9" name="Укупно ПДВ" dataDxfId="3">
      <calculatedColumnFormula>Table161332[[#This Row],[Стопа ПДВ - а]]*Table161332[[#This Row],[Укупна цена без ПДВ - а]]</calculatedColumnFormula>
    </tableColumn>
    <tableColumn id="10" name="Укупна цена са ПДВ - ом" dataDxfId="2">
      <calculatedColumnFormula>Table161332[[#This Row],[Укупна цена без ПДВ - а]]+Table161332[[#This Row],[Укупно ПДВ]]</calculatedColumnFormula>
    </tableColumn>
    <tableColumn id="11" name="Комерционални назив" dataDxfId="1"/>
    <tableColumn id="12" name="Произвођач" dataDxfId="0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id="15" name="Table161316" displayName="Table161316" ref="A5:L6" totalsRowShown="0" headerRowDxfId="363" dataDxfId="362">
  <autoFilter ref="A5:L6"/>
  <tableColumns count="12">
    <tableColumn id="1" name="Р. бр." dataDxfId="361"/>
    <tableColumn id="2" name="Назив артикла" dataDxfId="360"/>
    <tableColumn id="3" name="Опис артикла" dataDxfId="359"/>
    <tableColumn id="4" name="ЈМ" dataDxfId="358"/>
    <tableColumn id="5" name="Количина" dataDxfId="357"/>
    <tableColumn id="6" name="Цена по ЈМ без ПДВ – а" dataDxfId="356"/>
    <tableColumn id="7" name="Стопа ПДВ - а" dataDxfId="355"/>
    <tableColumn id="8" name="Укупна цена без ПДВ - а" dataDxfId="354">
      <calculatedColumnFormula>Table161316[[#This Row],[Количина]]*Table161316[[#This Row],[Цена по ЈМ без ПДВ – а]]</calculatedColumnFormula>
    </tableColumn>
    <tableColumn id="9" name="Укупно ПДВ" dataDxfId="353">
      <calculatedColumnFormula>Table161316[[#This Row],[Стопа ПДВ - а]]*Table161316[[#This Row],[Укупна цена без ПДВ - а]]</calculatedColumnFormula>
    </tableColumn>
    <tableColumn id="10" name="Укупна цена са ПДВ - ом" dataDxfId="352">
      <calculatedColumnFormula>Table161316[[#This Row],[Укупна цена без ПДВ - а]]+Table161316[[#This Row],[Укупно ПДВ]]</calculatedColumnFormula>
    </tableColumn>
    <tableColumn id="11" name="Комерционални назив" dataDxfId="351"/>
    <tableColumn id="12" name="Произвођач" dataDxfId="350"/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id="16" name="Table161317" displayName="Table161317" ref="A5:L7" totalsRowShown="0" headerRowDxfId="349" dataDxfId="348">
  <autoFilter ref="A5:L7"/>
  <tableColumns count="12">
    <tableColumn id="1" name="Р. бр." dataDxfId="347"/>
    <tableColumn id="2" name="Назив артикла" dataDxfId="346"/>
    <tableColumn id="3" name="Опис артикла" dataDxfId="345"/>
    <tableColumn id="4" name="ЈМ" dataDxfId="344"/>
    <tableColumn id="5" name="Количина" dataDxfId="343"/>
    <tableColumn id="6" name="Цена по ЈМ без ПДВ – а" dataDxfId="342"/>
    <tableColumn id="7" name="Стопа ПДВ - а" dataDxfId="341"/>
    <tableColumn id="8" name="Укупна цена без ПДВ - а" dataDxfId="340">
      <calculatedColumnFormula>Table161317[[#This Row],[Количина]]*Table161317[[#This Row],[Цена по ЈМ без ПДВ – а]]</calculatedColumnFormula>
    </tableColumn>
    <tableColumn id="9" name="Укупно ПДВ" dataDxfId="339">
      <calculatedColumnFormula>Table161317[[#This Row],[Стопа ПДВ - а]]*Table161317[[#This Row],[Укупна цена без ПДВ - а]]</calculatedColumnFormula>
    </tableColumn>
    <tableColumn id="10" name="Укупна цена са ПДВ - ом" dataDxfId="338">
      <calculatedColumnFormula>Table161317[[#This Row],[Укупна цена без ПДВ - а]]+Table161317[[#This Row],[Укупно ПДВ]]</calculatedColumnFormula>
    </tableColumn>
    <tableColumn id="11" name="Комерционални назив" dataDxfId="337"/>
    <tableColumn id="12" name="Произвођач" dataDxfId="336"/>
  </tableColumns>
  <tableStyleInfo name="TableStyleMedium18" showFirstColumn="0" showLastColumn="0" showRowStripes="1" showColumnStripes="0"/>
</table>
</file>

<file path=xl/tables/table5.xml><?xml version="1.0" encoding="utf-8"?>
<table xmlns="http://schemas.openxmlformats.org/spreadsheetml/2006/main" id="17" name="Table161318" displayName="Table161318" ref="A5:L6" totalsRowShown="0" headerRowDxfId="335" dataDxfId="334">
  <autoFilter ref="A5:L6"/>
  <tableColumns count="12">
    <tableColumn id="1" name="Р. бр." dataDxfId="333"/>
    <tableColumn id="2" name="Назив артикла" dataDxfId="332"/>
    <tableColumn id="3" name="Опис артикла" dataDxfId="331"/>
    <tableColumn id="4" name="ЈМ" dataDxfId="330"/>
    <tableColumn id="5" name="Количина" dataDxfId="329"/>
    <tableColumn id="6" name="Цена по ЈМ без ПДВ – а" dataDxfId="328"/>
    <tableColumn id="7" name="Стопа ПДВ - а" dataDxfId="327"/>
    <tableColumn id="8" name="Укупна цена без ПДВ - а" dataDxfId="326">
      <calculatedColumnFormula>Table161318[[#This Row],[Количина]]*Table161318[[#This Row],[Цена по ЈМ без ПДВ – а]]</calculatedColumnFormula>
    </tableColumn>
    <tableColumn id="9" name="Укупно ПДВ" dataDxfId="325">
      <calculatedColumnFormula>Table161318[[#This Row],[Стопа ПДВ - а]]*Table161318[[#This Row],[Укупна цена без ПДВ - а]]</calculatedColumnFormula>
    </tableColumn>
    <tableColumn id="10" name="Укупна цена са ПДВ - ом" dataDxfId="324">
      <calculatedColumnFormula>Table161318[[#This Row],[Укупна цена без ПДВ - а]]+Table161318[[#This Row],[Укупно ПДВ]]</calculatedColumnFormula>
    </tableColumn>
    <tableColumn id="11" name="Комерционални назив" dataDxfId="323"/>
    <tableColumn id="12" name="Произвођач" dataDxfId="322"/>
  </tableColumns>
  <tableStyleInfo name="TableStyleMedium18" showFirstColumn="0" showLastColumn="0" showRowStripes="1" showColumnStripes="0"/>
</table>
</file>

<file path=xl/tables/table6.xml><?xml version="1.0" encoding="utf-8"?>
<table xmlns="http://schemas.openxmlformats.org/spreadsheetml/2006/main" id="18" name="Table161319" displayName="Table161319" ref="A5:L9" totalsRowShown="0" headerRowDxfId="321" dataDxfId="320">
  <autoFilter ref="A5:L9"/>
  <tableColumns count="12">
    <tableColumn id="1" name="Р. бр." dataDxfId="319"/>
    <tableColumn id="2" name="Назив артикла" dataDxfId="318"/>
    <tableColumn id="3" name="Опис артикла" dataDxfId="317"/>
    <tableColumn id="4" name="ЈМ" dataDxfId="316"/>
    <tableColumn id="5" name="Количина" dataDxfId="315"/>
    <tableColumn id="6" name="Цена по ЈМ без ПДВ – а" dataDxfId="314"/>
    <tableColumn id="7" name="Стопа ПДВ - а" dataDxfId="313"/>
    <tableColumn id="8" name="Укупна цена без ПДВ - а" dataDxfId="312">
      <calculatedColumnFormula>Table161319[[#This Row],[Количина]]*Table161319[[#This Row],[Цена по ЈМ без ПДВ – а]]</calculatedColumnFormula>
    </tableColumn>
    <tableColumn id="9" name="Укупно ПДВ" dataDxfId="311">
      <calculatedColumnFormula>Table161319[[#This Row],[Стопа ПДВ - а]]*Table161319[[#This Row],[Укупна цена без ПДВ - а]]</calculatedColumnFormula>
    </tableColumn>
    <tableColumn id="10" name="Укупна цена са ПДВ - ом" dataDxfId="310">
      <calculatedColumnFormula>Table161319[[#This Row],[Укупна цена без ПДВ - а]]+Table161319[[#This Row],[Укупно ПДВ]]</calculatedColumnFormula>
    </tableColumn>
    <tableColumn id="11" name="Комерционални назив" dataDxfId="309"/>
    <tableColumn id="12" name="Произвођач" dataDxfId="308"/>
  </tableColumns>
  <tableStyleInfo name="TableStyleMedium18" showFirstColumn="0" showLastColumn="0" showRowStripes="1" showColumnStripes="0"/>
</table>
</file>

<file path=xl/tables/table7.xml><?xml version="1.0" encoding="utf-8"?>
<table xmlns="http://schemas.openxmlformats.org/spreadsheetml/2006/main" id="21" name="Table161322" displayName="Table161322" ref="A5:L12" totalsRowShown="0" headerRowDxfId="307" dataDxfId="306">
  <autoFilter ref="A5:L12"/>
  <tableColumns count="12">
    <tableColumn id="1" name="Р. бр." dataDxfId="305"/>
    <tableColumn id="2" name="Назив артикла" dataDxfId="304"/>
    <tableColumn id="3" name="Опис артикла" dataDxfId="303"/>
    <tableColumn id="4" name="ЈМ" dataDxfId="302"/>
    <tableColumn id="5" name="Количина" dataDxfId="301"/>
    <tableColumn id="6" name="Цена по ЈМ без ПДВ – а" dataDxfId="300"/>
    <tableColumn id="7" name="Стопа ПДВ - а" dataDxfId="299"/>
    <tableColumn id="8" name="Укупна цена без ПДВ - а" dataDxfId="298">
      <calculatedColumnFormula>Table161322[[#This Row],[Количина]]*Table161322[[#This Row],[Цена по ЈМ без ПДВ – а]]</calculatedColumnFormula>
    </tableColumn>
    <tableColumn id="9" name="Укупно ПДВ" dataDxfId="297">
      <calculatedColumnFormula>Table161322[[#This Row],[Стопа ПДВ - а]]*Table161322[[#This Row],[Укупна цена без ПДВ - а]]</calculatedColumnFormula>
    </tableColumn>
    <tableColumn id="10" name="Укупна цена са ПДВ - ом" dataDxfId="296">
      <calculatedColumnFormula>Table161322[[#This Row],[Укупна цена без ПДВ - а]]+Table161322[[#This Row],[Укупно ПДВ]]</calculatedColumnFormula>
    </tableColumn>
    <tableColumn id="11" name="Комерционални назив" dataDxfId="295"/>
    <tableColumn id="12" name="Произвођач" dataDxfId="294"/>
  </tableColumns>
  <tableStyleInfo name="TableStyleMedium18" showFirstColumn="0" showLastColumn="0" showRowStripes="1" showColumnStripes="0"/>
</table>
</file>

<file path=xl/tables/table8.xml><?xml version="1.0" encoding="utf-8"?>
<table xmlns="http://schemas.openxmlformats.org/spreadsheetml/2006/main" id="22" name="Table161323" displayName="Table161323" ref="A5:L7" totalsRowShown="0" headerRowDxfId="293" dataDxfId="292">
  <autoFilter ref="A5:L7"/>
  <tableColumns count="12">
    <tableColumn id="1" name="Р. бр." dataDxfId="291"/>
    <tableColumn id="2" name="Назив артикла" dataDxfId="290"/>
    <tableColumn id="3" name="Опис артикла" dataDxfId="289"/>
    <tableColumn id="4" name="ЈМ" dataDxfId="288"/>
    <tableColumn id="5" name="Количина" dataDxfId="287"/>
    <tableColumn id="6" name="Цена по ЈМ без ПДВ – а" dataDxfId="286"/>
    <tableColumn id="7" name="Стопа ПДВ - а" dataDxfId="285"/>
    <tableColumn id="8" name="Укупна цена без ПДВ - а" dataDxfId="284">
      <calculatedColumnFormula>Table161323[[#This Row],[Количина]]*Table161323[[#This Row],[Цена по ЈМ без ПДВ – а]]</calculatedColumnFormula>
    </tableColumn>
    <tableColumn id="9" name="Укупно ПДВ" dataDxfId="283">
      <calculatedColumnFormula>Table161323[[#This Row],[Стопа ПДВ - а]]*Table161323[[#This Row],[Укупна цена без ПДВ - а]]</calculatedColumnFormula>
    </tableColumn>
    <tableColumn id="10" name="Укупна цена са ПДВ - ом" dataDxfId="282">
      <calculatedColumnFormula>Table161323[[#This Row],[Укупна цена без ПДВ - а]]+Table161323[[#This Row],[Укупно ПДВ]]</calculatedColumnFormula>
    </tableColumn>
    <tableColumn id="11" name="Комерционални назив" dataDxfId="281"/>
    <tableColumn id="12" name="Произвођач" dataDxfId="280"/>
  </tableColumns>
  <tableStyleInfo name="TableStyleMedium18" showFirstColumn="0" showLastColumn="0" showRowStripes="1" showColumnStripes="0"/>
</table>
</file>

<file path=xl/tables/table9.xml><?xml version="1.0" encoding="utf-8"?>
<table xmlns="http://schemas.openxmlformats.org/spreadsheetml/2006/main" id="23" name="Table161324" displayName="Table161324" ref="A5:L6" totalsRowShown="0" headerRowDxfId="279" dataDxfId="278">
  <autoFilter ref="A5:L6"/>
  <tableColumns count="12">
    <tableColumn id="1" name="Р. бр." dataDxfId="277"/>
    <tableColumn id="2" name="Назив артикла" dataDxfId="276"/>
    <tableColumn id="3" name="Опис артикла" dataDxfId="275"/>
    <tableColumn id="4" name="ЈМ" dataDxfId="274"/>
    <tableColumn id="5" name="Количина" dataDxfId="273"/>
    <tableColumn id="6" name="Цена по ЈМ без ПДВ – а" dataDxfId="272"/>
    <tableColumn id="7" name="Стопа ПДВ - а" dataDxfId="271"/>
    <tableColumn id="8" name="Укупна цена без ПДВ - а" dataDxfId="270">
      <calculatedColumnFormula>Table161324[[#This Row],[Количина]]*Table161324[[#This Row],[Цена по ЈМ без ПДВ – а]]</calculatedColumnFormula>
    </tableColumn>
    <tableColumn id="9" name="Укупно ПДВ" dataDxfId="269">
      <calculatedColumnFormula>Table161324[[#This Row],[Стопа ПДВ - а]]*Table161324[[#This Row],[Укупна цена без ПДВ - а]]</calculatedColumnFormula>
    </tableColumn>
    <tableColumn id="10" name="Укупна цена са ПДВ - ом" dataDxfId="268">
      <calculatedColumnFormula>Table161324[[#This Row],[Укупна цена без ПДВ - а]]+Table161324[[#This Row],[Укупно ПДВ]]</calculatedColumnFormula>
    </tableColumn>
    <tableColumn id="11" name="Комерционални назив" dataDxfId="267"/>
    <tableColumn id="12" name="Произвођач" dataDxfId="266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vetisava.rs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vetisava.rs/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vetisava.rs/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svetisava.r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26"/>
  <sheetViews>
    <sheetView tabSelected="1" zoomScaleNormal="100" workbookViewId="0">
      <selection activeCell="Q29" sqref="Q29"/>
    </sheetView>
  </sheetViews>
  <sheetFormatPr defaultRowHeight="15" x14ac:dyDescent="0.25"/>
  <cols>
    <col min="1" max="16384" width="9.140625" style="30"/>
  </cols>
  <sheetData>
    <row r="3" spans="1:22" ht="21" x14ac:dyDescent="0.25">
      <c r="E3" s="90" t="s">
        <v>292</v>
      </c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1:22" ht="18.75" x14ac:dyDescent="0.25">
      <c r="E4" s="91" t="s">
        <v>293</v>
      </c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5" spans="1:22" ht="15.75" x14ac:dyDescent="0.25">
      <c r="E5" s="93" t="s">
        <v>294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</row>
    <row r="6" spans="1:22" ht="18.75" x14ac:dyDescent="0.25">
      <c r="E6" s="95" t="s">
        <v>295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</row>
    <row r="10" spans="1:22" ht="15" customHeight="1" x14ac:dyDescent="0.25">
      <c r="C10" s="96" t="s">
        <v>296</v>
      </c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</row>
    <row r="11" spans="1:22" ht="15" customHeight="1" x14ac:dyDescent="0.25"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</row>
    <row r="12" spans="1:22" ht="15" customHeight="1" x14ac:dyDescent="0.25"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</row>
    <row r="13" spans="1:22" ht="15" customHeight="1" x14ac:dyDescent="0.25"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</row>
    <row r="16" spans="1:22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</row>
    <row r="17" spans="1:22" ht="35.1" customHeight="1" x14ac:dyDescent="0.25">
      <c r="A17" s="88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8"/>
    </row>
    <row r="18" spans="1:22" ht="35.1" customHeight="1" x14ac:dyDescent="0.25">
      <c r="A18" s="88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8"/>
    </row>
    <row r="19" spans="1:22" ht="35.1" customHeight="1" x14ac:dyDescent="0.25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8"/>
    </row>
    <row r="20" spans="1:22" ht="35.1" customHeight="1" x14ac:dyDescent="0.25">
      <c r="A20" s="88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8"/>
    </row>
    <row r="21" spans="1:22" ht="35.1" customHeight="1" x14ac:dyDescent="0.2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8"/>
    </row>
    <row r="22" spans="1:22" ht="35.1" customHeight="1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8"/>
    </row>
    <row r="23" spans="1:22" x14ac:dyDescent="0.25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</row>
    <row r="26" spans="1:22" x14ac:dyDescent="0.25">
      <c r="L26" s="107" t="s">
        <v>321</v>
      </c>
      <c r="M26" s="107"/>
      <c r="N26" s="107"/>
    </row>
  </sheetData>
  <mergeCells count="36">
    <mergeCell ref="L26:N26"/>
    <mergeCell ref="E3:R3"/>
    <mergeCell ref="E4:R4"/>
    <mergeCell ref="E5:R5"/>
    <mergeCell ref="E6:R6"/>
    <mergeCell ref="C10:T13"/>
    <mergeCell ref="N17:Q17"/>
    <mergeCell ref="R17:U17"/>
    <mergeCell ref="B18:E18"/>
    <mergeCell ref="F18:I18"/>
    <mergeCell ref="J18:M18"/>
    <mergeCell ref="N18:Q18"/>
    <mergeCell ref="R18:U18"/>
    <mergeCell ref="B17:E17"/>
    <mergeCell ref="F17:I17"/>
    <mergeCell ref="J17:M17"/>
    <mergeCell ref="B20:E20"/>
    <mergeCell ref="F20:I20"/>
    <mergeCell ref="J20:M20"/>
    <mergeCell ref="N20:Q20"/>
    <mergeCell ref="R20:U20"/>
    <mergeCell ref="B19:E19"/>
    <mergeCell ref="F19:I19"/>
    <mergeCell ref="J19:M19"/>
    <mergeCell ref="N19:Q19"/>
    <mergeCell ref="R19:U19"/>
    <mergeCell ref="B22:E22"/>
    <mergeCell ref="F22:I22"/>
    <mergeCell ref="J22:M22"/>
    <mergeCell ref="N22:Q22"/>
    <mergeCell ref="R22:U22"/>
    <mergeCell ref="B21:E21"/>
    <mergeCell ref="F21:I21"/>
    <mergeCell ref="J21:M21"/>
    <mergeCell ref="N21:Q21"/>
    <mergeCell ref="R21:U21"/>
  </mergeCells>
  <hyperlinks>
    <hyperlink ref="E6" r:id="rId1"/>
  </hyperlinks>
  <pageMargins left="0.7" right="0.7" top="0.75" bottom="0.75" header="0.3" footer="0.3"/>
  <pageSetup scale="6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workbookViewId="0">
      <selection activeCell="O28" sqref="O28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x14ac:dyDescent="0.25">
      <c r="A2" s="127" t="s">
        <v>13</v>
      </c>
      <c r="B2" s="127"/>
      <c r="C2" s="127"/>
      <c r="D2" s="127"/>
      <c r="E2" s="127"/>
      <c r="F2" s="127"/>
      <c r="G2" s="129" t="s">
        <v>44</v>
      </c>
      <c r="H2" s="129"/>
      <c r="I2" s="129"/>
      <c r="J2" s="129"/>
      <c r="K2" s="129"/>
      <c r="L2" s="129"/>
    </row>
    <row r="3" spans="1:12" ht="15.75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30" x14ac:dyDescent="0.25">
      <c r="A6" s="5">
        <v>1</v>
      </c>
      <c r="B6" s="37" t="s">
        <v>45</v>
      </c>
      <c r="C6" s="40" t="s">
        <v>46</v>
      </c>
      <c r="D6" s="16" t="s">
        <v>55</v>
      </c>
      <c r="E6" s="11">
        <v>12000</v>
      </c>
      <c r="F6" s="17">
        <v>0</v>
      </c>
      <c r="G6" s="25">
        <v>0</v>
      </c>
      <c r="H6" s="17">
        <f>Table161319[[#This Row],[Количина]]*Table161319[[#This Row],[Цена по ЈМ без ПДВ – а]]</f>
        <v>0</v>
      </c>
      <c r="I6" s="18">
        <f>Table161319[[#This Row],[Стопа ПДВ - а]]*Table161319[[#This Row],[Укупна цена без ПДВ - а]]</f>
        <v>0</v>
      </c>
      <c r="J6" s="17">
        <f>Table161319[[#This Row],[Укупна цена без ПДВ - а]]+Table161319[[#This Row],[Укупно ПДВ]]</f>
        <v>0</v>
      </c>
      <c r="K6" s="31"/>
      <c r="L6" s="32"/>
    </row>
    <row r="7" spans="1:12" ht="30" x14ac:dyDescent="0.25">
      <c r="A7" s="6">
        <v>2</v>
      </c>
      <c r="B7" s="38" t="s">
        <v>47</v>
      </c>
      <c r="C7" s="41" t="s">
        <v>48</v>
      </c>
      <c r="D7" s="16" t="s">
        <v>55</v>
      </c>
      <c r="E7" s="12">
        <v>1000</v>
      </c>
      <c r="F7" s="19">
        <v>0</v>
      </c>
      <c r="G7" s="26">
        <v>0</v>
      </c>
      <c r="H7" s="19">
        <f>Table161319[[#This Row],[Количина]]*Table161319[[#This Row],[Цена по ЈМ без ПДВ – а]]</f>
        <v>0</v>
      </c>
      <c r="I7" s="20">
        <f>Table161319[[#This Row],[Стопа ПДВ - а]]*Table161319[[#This Row],[Укупна цена без ПДВ - а]]</f>
        <v>0</v>
      </c>
      <c r="J7" s="19">
        <f>Table161319[[#This Row],[Укупна цена без ПДВ - а]]+Table161319[[#This Row],[Укупно ПДВ]]</f>
        <v>0</v>
      </c>
      <c r="K7" s="33"/>
      <c r="L7" s="34"/>
    </row>
    <row r="8" spans="1:12" ht="30" x14ac:dyDescent="0.25">
      <c r="A8" s="6">
        <v>3</v>
      </c>
      <c r="B8" s="38" t="s">
        <v>49</v>
      </c>
      <c r="C8" s="40" t="s">
        <v>46</v>
      </c>
      <c r="D8" s="16" t="s">
        <v>55</v>
      </c>
      <c r="E8" s="12">
        <v>80000</v>
      </c>
      <c r="F8" s="19">
        <v>0</v>
      </c>
      <c r="G8" s="26">
        <v>0</v>
      </c>
      <c r="H8" s="19">
        <f>Table161319[[#This Row],[Количина]]*Table161319[[#This Row],[Цена по ЈМ без ПДВ – а]]</f>
        <v>0</v>
      </c>
      <c r="I8" s="20">
        <f>Table161319[[#This Row],[Стопа ПДВ - а]]*Table161319[[#This Row],[Укупна цена без ПДВ - а]]</f>
        <v>0</v>
      </c>
      <c r="J8" s="19">
        <f>Table161319[[#This Row],[Укупна цена без ПДВ - а]]+Table161319[[#This Row],[Укупно ПДВ]]</f>
        <v>0</v>
      </c>
      <c r="K8" s="33"/>
      <c r="L8" s="34"/>
    </row>
    <row r="9" spans="1:12" ht="45.75" thickBot="1" x14ac:dyDescent="0.3">
      <c r="A9" s="45">
        <v>4</v>
      </c>
      <c r="B9" s="46" t="s">
        <v>50</v>
      </c>
      <c r="C9" s="47" t="s">
        <v>51</v>
      </c>
      <c r="D9" s="29" t="s">
        <v>55</v>
      </c>
      <c r="E9" s="48">
        <v>100</v>
      </c>
      <c r="F9" s="49">
        <v>0</v>
      </c>
      <c r="G9" s="50">
        <v>0</v>
      </c>
      <c r="H9" s="49">
        <f>Table161319[[#This Row],[Количина]]*Table161319[[#This Row],[Цена по ЈМ без ПДВ – а]]</f>
        <v>0</v>
      </c>
      <c r="I9" s="51">
        <f>Table161319[[#This Row],[Стопа ПДВ - а]]*Table161319[[#This Row],[Укупна цена без ПДВ - а]]</f>
        <v>0</v>
      </c>
      <c r="J9" s="49">
        <f>Table161319[[#This Row],[Укупна цена без ПДВ - а]]+Table161319[[#This Row],[Укупно ПДВ]]</f>
        <v>0</v>
      </c>
      <c r="K9" s="52"/>
      <c r="L9" s="53"/>
    </row>
    <row r="10" spans="1:12" ht="15.75" thickBot="1" x14ac:dyDescent="0.3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</row>
    <row r="11" spans="1:12" x14ac:dyDescent="0.25">
      <c r="A11" s="131" t="s">
        <v>14</v>
      </c>
      <c r="B11" s="131"/>
      <c r="C11" s="131"/>
      <c r="D11" s="131"/>
      <c r="E11" s="131"/>
      <c r="F11" s="131"/>
      <c r="G11" s="134" t="s">
        <v>15</v>
      </c>
      <c r="H11" s="134"/>
      <c r="I11" s="134"/>
      <c r="J11" s="134" t="s">
        <v>16</v>
      </c>
      <c r="K11" s="134"/>
      <c r="L11" s="134"/>
    </row>
    <row r="12" spans="1:12" x14ac:dyDescent="0.25">
      <c r="A12" s="132"/>
      <c r="B12" s="132"/>
      <c r="C12" s="132"/>
      <c r="D12" s="132"/>
      <c r="E12" s="132"/>
      <c r="F12" s="132"/>
      <c r="G12" s="135">
        <f>SUM(Table161319[Укупна цена без ПДВ - а])</f>
        <v>0</v>
      </c>
      <c r="H12" s="135"/>
      <c r="I12" s="135"/>
      <c r="J12" s="135">
        <f>SUM(Table161319[Укупна цена са ПДВ - ом])</f>
        <v>0</v>
      </c>
      <c r="K12" s="135"/>
      <c r="L12" s="135"/>
    </row>
    <row r="13" spans="1:12" ht="15.75" thickBot="1" x14ac:dyDescent="0.3">
      <c r="A13" s="133"/>
      <c r="B13" s="133"/>
      <c r="C13" s="133"/>
      <c r="D13" s="133"/>
      <c r="E13" s="133"/>
      <c r="F13" s="133"/>
      <c r="G13" s="136"/>
      <c r="H13" s="136"/>
      <c r="I13" s="136"/>
      <c r="J13" s="136"/>
      <c r="K13" s="136"/>
      <c r="L13" s="136"/>
    </row>
    <row r="14" spans="1:12" ht="15.75" thickBot="1" x14ac:dyDescent="0.3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</row>
    <row r="15" spans="1:12" ht="15.75" thickTop="1" x14ac:dyDescent="0.25">
      <c r="A15" s="141" t="s">
        <v>24</v>
      </c>
      <c r="B15" s="141"/>
      <c r="C15" s="147" t="s">
        <v>54</v>
      </c>
      <c r="D15" s="147"/>
      <c r="E15" s="147"/>
      <c r="F15" s="147"/>
      <c r="G15" s="147"/>
      <c r="H15" s="147"/>
      <c r="I15" s="147"/>
      <c r="J15" s="147"/>
      <c r="K15" s="147"/>
      <c r="L15" s="147"/>
    </row>
    <row r="16" spans="1:12" x14ac:dyDescent="0.25">
      <c r="A16" s="142"/>
      <c r="B16" s="142"/>
      <c r="C16" s="148"/>
      <c r="D16" s="148"/>
      <c r="E16" s="148"/>
      <c r="F16" s="148"/>
      <c r="G16" s="148"/>
      <c r="H16" s="148"/>
      <c r="I16" s="148"/>
      <c r="J16" s="148"/>
      <c r="K16" s="148"/>
      <c r="L16" s="148"/>
    </row>
    <row r="17" spans="1:12" ht="15.75" thickBot="1" x14ac:dyDescent="0.3">
      <c r="A17" s="143"/>
      <c r="B17" s="143"/>
      <c r="C17" s="149"/>
      <c r="D17" s="149"/>
      <c r="E17" s="149"/>
      <c r="F17" s="149"/>
      <c r="G17" s="149"/>
      <c r="H17" s="149"/>
      <c r="I17" s="149"/>
      <c r="J17" s="149"/>
      <c r="K17" s="149"/>
      <c r="L17" s="149"/>
    </row>
    <row r="18" spans="1:12" ht="15.75" thickTop="1" x14ac:dyDescent="0.25"/>
    <row r="19" spans="1:12" x14ac:dyDescent="0.25">
      <c r="J19" s="137" t="s">
        <v>18</v>
      </c>
      <c r="K19" s="137"/>
    </row>
    <row r="20" spans="1:12" x14ac:dyDescent="0.25">
      <c r="J20" s="137"/>
      <c r="K20" s="137"/>
    </row>
    <row r="21" spans="1:12" x14ac:dyDescent="0.25">
      <c r="J21" s="138"/>
      <c r="K21" s="138"/>
    </row>
    <row r="22" spans="1:12" ht="15.75" thickBot="1" x14ac:dyDescent="0.3">
      <c r="J22" s="109"/>
      <c r="K22" s="109"/>
    </row>
    <row r="23" spans="1:12" x14ac:dyDescent="0.25">
      <c r="J23" s="139" t="s">
        <v>17</v>
      </c>
      <c r="K23" s="139"/>
    </row>
    <row r="24" spans="1:12" x14ac:dyDescent="0.25">
      <c r="J24" s="140"/>
      <c r="K24" s="140"/>
    </row>
  </sheetData>
  <mergeCells count="16">
    <mergeCell ref="J23:K24"/>
    <mergeCell ref="A1:L1"/>
    <mergeCell ref="A2:F3"/>
    <mergeCell ref="G2:L3"/>
    <mergeCell ref="A4:L4"/>
    <mergeCell ref="A10:L10"/>
    <mergeCell ref="A11:F13"/>
    <mergeCell ref="G11:I11"/>
    <mergeCell ref="J11:L11"/>
    <mergeCell ref="G12:I13"/>
    <mergeCell ref="J12:L13"/>
    <mergeCell ref="A14:L14"/>
    <mergeCell ref="A15:B17"/>
    <mergeCell ref="C15:L17"/>
    <mergeCell ref="J19:K20"/>
    <mergeCell ref="J21:K22"/>
  </mergeCells>
  <pageMargins left="0.7" right="0.7" top="0.75" bottom="0.75" header="0.3" footer="0.3"/>
  <pageSetup scale="51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0" zoomScaleNormal="100" workbookViewId="0">
      <selection sqref="A1:L1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x14ac:dyDescent="0.25">
      <c r="A2" s="127" t="s">
        <v>13</v>
      </c>
      <c r="B2" s="127"/>
      <c r="C2" s="127"/>
      <c r="D2" s="127"/>
      <c r="E2" s="127"/>
      <c r="F2" s="127"/>
      <c r="G2" s="129" t="s">
        <v>52</v>
      </c>
      <c r="H2" s="129"/>
      <c r="I2" s="129"/>
      <c r="J2" s="129"/>
      <c r="K2" s="129"/>
      <c r="L2" s="129"/>
    </row>
    <row r="3" spans="1:12" ht="15.75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45" x14ac:dyDescent="0.25">
      <c r="A6" s="5">
        <v>1</v>
      </c>
      <c r="B6" s="37" t="s">
        <v>53</v>
      </c>
      <c r="C6" s="40" t="s">
        <v>59</v>
      </c>
      <c r="D6" s="16" t="s">
        <v>33</v>
      </c>
      <c r="E6" s="11">
        <v>300</v>
      </c>
      <c r="F6" s="17">
        <v>0</v>
      </c>
      <c r="G6" s="25">
        <v>0</v>
      </c>
      <c r="H6" s="17">
        <f>Table161322[[#This Row],[Количина]]*Table161322[[#This Row],[Цена по ЈМ без ПДВ – а]]</f>
        <v>0</v>
      </c>
      <c r="I6" s="18">
        <f>Table161322[[#This Row],[Стопа ПДВ - а]]*Table161322[[#This Row],[Укупна цена без ПДВ - а]]</f>
        <v>0</v>
      </c>
      <c r="J6" s="17">
        <f>Table161322[[#This Row],[Укупна цена без ПДВ - а]]+Table161322[[#This Row],[Укупно ПДВ]]</f>
        <v>0</v>
      </c>
      <c r="K6" s="31"/>
      <c r="L6" s="32"/>
    </row>
    <row r="7" spans="1:12" ht="45" x14ac:dyDescent="0.25">
      <c r="A7" s="6">
        <v>2</v>
      </c>
      <c r="B7" s="38" t="s">
        <v>56</v>
      </c>
      <c r="C7" s="41" t="s">
        <v>57</v>
      </c>
      <c r="D7" s="16" t="s">
        <v>33</v>
      </c>
      <c r="E7" s="12">
        <v>300</v>
      </c>
      <c r="F7" s="19">
        <v>0</v>
      </c>
      <c r="G7" s="26">
        <v>0</v>
      </c>
      <c r="H7" s="19">
        <f>Table161322[[#This Row],[Количина]]*Table161322[[#This Row],[Цена по ЈМ без ПДВ – а]]</f>
        <v>0</v>
      </c>
      <c r="I7" s="20">
        <f>Table161322[[#This Row],[Стопа ПДВ - а]]*Table161322[[#This Row],[Укупна цена без ПДВ - а]]</f>
        <v>0</v>
      </c>
      <c r="J7" s="19">
        <f>Table161322[[#This Row],[Укупна цена без ПДВ - а]]+Table161322[[#This Row],[Укупно ПДВ]]</f>
        <v>0</v>
      </c>
      <c r="K7" s="33"/>
      <c r="L7" s="34"/>
    </row>
    <row r="8" spans="1:12" ht="45" x14ac:dyDescent="0.25">
      <c r="A8" s="6">
        <v>3</v>
      </c>
      <c r="B8" s="38" t="s">
        <v>58</v>
      </c>
      <c r="C8" s="41" t="s">
        <v>60</v>
      </c>
      <c r="D8" s="16" t="s">
        <v>33</v>
      </c>
      <c r="E8" s="12">
        <v>600</v>
      </c>
      <c r="F8" s="19">
        <v>0</v>
      </c>
      <c r="G8" s="26">
        <v>0</v>
      </c>
      <c r="H8" s="19">
        <f>Table161322[[#This Row],[Количина]]*Table161322[[#This Row],[Цена по ЈМ без ПДВ – а]]</f>
        <v>0</v>
      </c>
      <c r="I8" s="20">
        <f>Table161322[[#This Row],[Стопа ПДВ - а]]*Table161322[[#This Row],[Укупна цена без ПДВ - а]]</f>
        <v>0</v>
      </c>
      <c r="J8" s="19">
        <f>Table161322[[#This Row],[Укупна цена без ПДВ - а]]+Table161322[[#This Row],[Укупно ПДВ]]</f>
        <v>0</v>
      </c>
      <c r="K8" s="33"/>
      <c r="L8" s="34"/>
    </row>
    <row r="9" spans="1:12" ht="45" x14ac:dyDescent="0.25">
      <c r="A9" s="6">
        <v>4</v>
      </c>
      <c r="B9" s="38" t="s">
        <v>61</v>
      </c>
      <c r="C9" s="41" t="s">
        <v>62</v>
      </c>
      <c r="D9" s="16" t="s">
        <v>4</v>
      </c>
      <c r="E9" s="12">
        <v>1000</v>
      </c>
      <c r="F9" s="19">
        <v>0</v>
      </c>
      <c r="G9" s="26">
        <v>0</v>
      </c>
      <c r="H9" s="19">
        <f>Table161322[[#This Row],[Количина]]*Table161322[[#This Row],[Цена по ЈМ без ПДВ – а]]</f>
        <v>0</v>
      </c>
      <c r="I9" s="20">
        <f>Table161322[[#This Row],[Стопа ПДВ - а]]*Table161322[[#This Row],[Укупна цена без ПДВ - а]]</f>
        <v>0</v>
      </c>
      <c r="J9" s="19">
        <f>Table161322[[#This Row],[Укупна цена без ПДВ - а]]+Table161322[[#This Row],[Укупно ПДВ]]</f>
        <v>0</v>
      </c>
      <c r="K9" s="33"/>
      <c r="L9" s="34"/>
    </row>
    <row r="10" spans="1:12" ht="45" x14ac:dyDescent="0.25">
      <c r="A10" s="6">
        <v>5</v>
      </c>
      <c r="B10" s="38" t="s">
        <v>63</v>
      </c>
      <c r="C10" s="40" t="s">
        <v>64</v>
      </c>
      <c r="D10" s="16" t="s">
        <v>33</v>
      </c>
      <c r="E10" s="12">
        <v>700</v>
      </c>
      <c r="F10" s="19">
        <v>0</v>
      </c>
      <c r="G10" s="26">
        <v>0</v>
      </c>
      <c r="H10" s="19">
        <f>Table161322[[#This Row],[Количина]]*Table161322[[#This Row],[Цена по ЈМ без ПДВ – а]]</f>
        <v>0</v>
      </c>
      <c r="I10" s="20">
        <f>Table161322[[#This Row],[Стопа ПДВ - а]]*Table161322[[#This Row],[Укупна цена без ПДВ - а]]</f>
        <v>0</v>
      </c>
      <c r="J10" s="19">
        <f>Table161322[[#This Row],[Укупна цена без ПДВ - а]]+Table161322[[#This Row],[Укупно ПДВ]]</f>
        <v>0</v>
      </c>
      <c r="K10" s="33"/>
      <c r="L10" s="34"/>
    </row>
    <row r="11" spans="1:12" ht="18.75" x14ac:dyDescent="0.25">
      <c r="A11" s="6">
        <v>6</v>
      </c>
      <c r="B11" s="38" t="s">
        <v>65</v>
      </c>
      <c r="C11" s="41" t="s">
        <v>66</v>
      </c>
      <c r="D11" s="16" t="s">
        <v>33</v>
      </c>
      <c r="E11" s="12">
        <v>3000</v>
      </c>
      <c r="F11" s="19">
        <v>0</v>
      </c>
      <c r="G11" s="26">
        <v>0</v>
      </c>
      <c r="H11" s="19">
        <f>Table161322[[#This Row],[Количина]]*Table161322[[#This Row],[Цена по ЈМ без ПДВ – а]]</f>
        <v>0</v>
      </c>
      <c r="I11" s="20">
        <f>Table161322[[#This Row],[Стопа ПДВ - а]]*Table161322[[#This Row],[Укупна цена без ПДВ - а]]</f>
        <v>0</v>
      </c>
      <c r="J11" s="19">
        <f>Table161322[[#This Row],[Укупна цена без ПДВ - а]]+Table161322[[#This Row],[Укупно ПДВ]]</f>
        <v>0</v>
      </c>
      <c r="K11" s="33"/>
      <c r="L11" s="34"/>
    </row>
    <row r="12" spans="1:12" ht="19.5" thickBot="1" x14ac:dyDescent="0.3">
      <c r="A12" s="45">
        <v>7</v>
      </c>
      <c r="B12" s="46" t="s">
        <v>67</v>
      </c>
      <c r="C12" s="47" t="s">
        <v>68</v>
      </c>
      <c r="D12" s="29" t="s">
        <v>33</v>
      </c>
      <c r="E12" s="48">
        <v>100</v>
      </c>
      <c r="F12" s="49">
        <v>0</v>
      </c>
      <c r="G12" s="50">
        <v>0</v>
      </c>
      <c r="H12" s="49">
        <f>Table161322[[#This Row],[Количина]]*Table161322[[#This Row],[Цена по ЈМ без ПДВ – а]]</f>
        <v>0</v>
      </c>
      <c r="I12" s="51">
        <f>Table161322[[#This Row],[Стопа ПДВ - а]]*Table161322[[#This Row],[Укупна цена без ПДВ - а]]</f>
        <v>0</v>
      </c>
      <c r="J12" s="49">
        <f>Table161322[[#This Row],[Укупна цена без ПДВ - а]]+Table161322[[#This Row],[Укупно ПДВ]]</f>
        <v>0</v>
      </c>
      <c r="K12" s="52"/>
      <c r="L12" s="53"/>
    </row>
    <row r="13" spans="1:12" ht="15.75" thickBot="1" x14ac:dyDescent="0.3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</row>
    <row r="14" spans="1:12" x14ac:dyDescent="0.25">
      <c r="A14" s="131" t="s">
        <v>14</v>
      </c>
      <c r="B14" s="131"/>
      <c r="C14" s="131"/>
      <c r="D14" s="131"/>
      <c r="E14" s="131"/>
      <c r="F14" s="131"/>
      <c r="G14" s="134" t="s">
        <v>15</v>
      </c>
      <c r="H14" s="134"/>
      <c r="I14" s="134"/>
      <c r="J14" s="134" t="s">
        <v>16</v>
      </c>
      <c r="K14" s="134"/>
      <c r="L14" s="134"/>
    </row>
    <row r="15" spans="1:12" x14ac:dyDescent="0.25">
      <c r="A15" s="132"/>
      <c r="B15" s="132"/>
      <c r="C15" s="132"/>
      <c r="D15" s="132"/>
      <c r="E15" s="132"/>
      <c r="F15" s="132"/>
      <c r="G15" s="135">
        <f>SUM(Table161322[Укупна цена без ПДВ - а])</f>
        <v>0</v>
      </c>
      <c r="H15" s="135"/>
      <c r="I15" s="135"/>
      <c r="J15" s="135">
        <f>SUM(Table161322[Укупна цена са ПДВ - ом])</f>
        <v>0</v>
      </c>
      <c r="K15" s="135"/>
      <c r="L15" s="135"/>
    </row>
    <row r="16" spans="1:12" ht="15.75" thickBot="1" x14ac:dyDescent="0.3">
      <c r="A16" s="133"/>
      <c r="B16" s="133"/>
      <c r="C16" s="133"/>
      <c r="D16" s="133"/>
      <c r="E16" s="133"/>
      <c r="F16" s="133"/>
      <c r="G16" s="136"/>
      <c r="H16" s="136"/>
      <c r="I16" s="136"/>
      <c r="J16" s="136"/>
      <c r="K16" s="136"/>
      <c r="L16" s="136"/>
    </row>
    <row r="17" spans="1:12" ht="15.75" thickBot="1" x14ac:dyDescent="0.3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</row>
    <row r="18" spans="1:12" ht="15.75" thickTop="1" x14ac:dyDescent="0.25">
      <c r="A18" s="141" t="s">
        <v>24</v>
      </c>
      <c r="B18" s="141"/>
      <c r="C18" s="144" t="s">
        <v>69</v>
      </c>
      <c r="D18" s="144"/>
      <c r="E18" s="144"/>
      <c r="F18" s="144"/>
      <c r="G18" s="144"/>
      <c r="H18" s="144"/>
      <c r="I18" s="144"/>
      <c r="J18" s="144"/>
      <c r="K18" s="144"/>
      <c r="L18" s="144"/>
    </row>
    <row r="19" spans="1:12" x14ac:dyDescent="0.25">
      <c r="A19" s="142"/>
      <c r="B19" s="142"/>
      <c r="C19" s="145"/>
      <c r="D19" s="145"/>
      <c r="E19" s="145"/>
      <c r="F19" s="145"/>
      <c r="G19" s="145"/>
      <c r="H19" s="145"/>
      <c r="I19" s="145"/>
      <c r="J19" s="145"/>
      <c r="K19" s="145"/>
      <c r="L19" s="145"/>
    </row>
    <row r="20" spans="1:12" ht="15.75" thickBot="1" x14ac:dyDescent="0.3">
      <c r="A20" s="143"/>
      <c r="B20" s="143"/>
      <c r="C20" s="146"/>
      <c r="D20" s="146"/>
      <c r="E20" s="146"/>
      <c r="F20" s="146"/>
      <c r="G20" s="146"/>
      <c r="H20" s="146"/>
      <c r="I20" s="146"/>
      <c r="J20" s="146"/>
      <c r="K20" s="146"/>
      <c r="L20" s="146"/>
    </row>
    <row r="21" spans="1:12" ht="15.75" thickTop="1" x14ac:dyDescent="0.25"/>
    <row r="22" spans="1:12" x14ac:dyDescent="0.25">
      <c r="J22" s="137" t="s">
        <v>18</v>
      </c>
      <c r="K22" s="137"/>
    </row>
    <row r="23" spans="1:12" x14ac:dyDescent="0.25">
      <c r="J23" s="137"/>
      <c r="K23" s="137"/>
    </row>
    <row r="24" spans="1:12" x14ac:dyDescent="0.25">
      <c r="J24" s="138"/>
      <c r="K24" s="138"/>
    </row>
    <row r="25" spans="1:12" ht="15.75" thickBot="1" x14ac:dyDescent="0.3">
      <c r="J25" s="109"/>
      <c r="K25" s="109"/>
    </row>
    <row r="26" spans="1:12" x14ac:dyDescent="0.25">
      <c r="J26" s="139" t="s">
        <v>17</v>
      </c>
      <c r="K26" s="139"/>
    </row>
    <row r="27" spans="1:12" x14ac:dyDescent="0.25">
      <c r="J27" s="140"/>
      <c r="K27" s="140"/>
    </row>
  </sheetData>
  <mergeCells count="16">
    <mergeCell ref="J26:K27"/>
    <mergeCell ref="A1:L1"/>
    <mergeCell ref="A2:F3"/>
    <mergeCell ref="G2:L3"/>
    <mergeCell ref="A4:L4"/>
    <mergeCell ref="A13:L13"/>
    <mergeCell ref="A14:F16"/>
    <mergeCell ref="G14:I14"/>
    <mergeCell ref="J14:L14"/>
    <mergeCell ref="G15:I16"/>
    <mergeCell ref="J15:L16"/>
    <mergeCell ref="A17:L17"/>
    <mergeCell ref="A18:B20"/>
    <mergeCell ref="C18:L20"/>
    <mergeCell ref="J22:K23"/>
    <mergeCell ref="J24:K25"/>
  </mergeCells>
  <pageMargins left="0.7" right="0.7" top="0.75" bottom="0.75" header="0.3" footer="0.3"/>
  <pageSetup scale="58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sqref="A1:L1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x14ac:dyDescent="0.25">
      <c r="A2" s="127" t="s">
        <v>13</v>
      </c>
      <c r="B2" s="127"/>
      <c r="C2" s="127"/>
      <c r="D2" s="127"/>
      <c r="E2" s="127"/>
      <c r="F2" s="127"/>
      <c r="G2" s="129" t="s">
        <v>70</v>
      </c>
      <c r="H2" s="129"/>
      <c r="I2" s="129"/>
      <c r="J2" s="129"/>
      <c r="K2" s="129"/>
      <c r="L2" s="129"/>
    </row>
    <row r="3" spans="1:12" ht="15.75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45" x14ac:dyDescent="0.25">
      <c r="A6" s="5">
        <v>1</v>
      </c>
      <c r="B6" s="37" t="s">
        <v>73</v>
      </c>
      <c r="C6" s="40" t="s">
        <v>71</v>
      </c>
      <c r="D6" s="16" t="s">
        <v>33</v>
      </c>
      <c r="E6" s="11">
        <v>2500</v>
      </c>
      <c r="F6" s="17">
        <v>0</v>
      </c>
      <c r="G6" s="25">
        <v>0</v>
      </c>
      <c r="H6" s="17">
        <f>Table161323[[#This Row],[Количина]]*Table161323[[#This Row],[Цена по ЈМ без ПДВ – а]]</f>
        <v>0</v>
      </c>
      <c r="I6" s="18">
        <f>Table161323[[#This Row],[Стопа ПДВ - а]]*Table161323[[#This Row],[Укупна цена без ПДВ - а]]</f>
        <v>0</v>
      </c>
      <c r="J6" s="17">
        <f>Table161323[[#This Row],[Укупна цена без ПДВ - а]]+Table161323[[#This Row],[Укупно ПДВ]]</f>
        <v>0</v>
      </c>
      <c r="K6" s="31"/>
      <c r="L6" s="32"/>
    </row>
    <row r="7" spans="1:12" ht="45.75" thickBot="1" x14ac:dyDescent="0.3">
      <c r="A7" s="45">
        <v>2</v>
      </c>
      <c r="B7" s="46" t="s">
        <v>72</v>
      </c>
      <c r="C7" s="47" t="s">
        <v>71</v>
      </c>
      <c r="D7" s="29" t="s">
        <v>33</v>
      </c>
      <c r="E7" s="48">
        <v>100</v>
      </c>
      <c r="F7" s="49">
        <v>0</v>
      </c>
      <c r="G7" s="50">
        <v>0</v>
      </c>
      <c r="H7" s="49">
        <f>Table161323[[#This Row],[Количина]]*Table161323[[#This Row],[Цена по ЈМ без ПДВ – а]]</f>
        <v>0</v>
      </c>
      <c r="I7" s="51">
        <f>Table161323[[#This Row],[Стопа ПДВ - а]]*Table161323[[#This Row],[Укупна цена без ПДВ - а]]</f>
        <v>0</v>
      </c>
      <c r="J7" s="49">
        <f>Table161323[[#This Row],[Укупна цена без ПДВ - а]]+Table161323[[#This Row],[Укупно ПДВ]]</f>
        <v>0</v>
      </c>
      <c r="K7" s="52"/>
      <c r="L7" s="53"/>
    </row>
    <row r="8" spans="1:12" ht="15.75" thickBot="1" x14ac:dyDescent="0.3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spans="1:12" x14ac:dyDescent="0.25">
      <c r="A9" s="131" t="s">
        <v>14</v>
      </c>
      <c r="B9" s="131"/>
      <c r="C9" s="131"/>
      <c r="D9" s="131"/>
      <c r="E9" s="131"/>
      <c r="F9" s="131"/>
      <c r="G9" s="134" t="s">
        <v>15</v>
      </c>
      <c r="H9" s="134"/>
      <c r="I9" s="134"/>
      <c r="J9" s="134" t="s">
        <v>16</v>
      </c>
      <c r="K9" s="134"/>
      <c r="L9" s="134"/>
    </row>
    <row r="10" spans="1:12" x14ac:dyDescent="0.25">
      <c r="A10" s="132"/>
      <c r="B10" s="132"/>
      <c r="C10" s="132"/>
      <c r="D10" s="132"/>
      <c r="E10" s="132"/>
      <c r="F10" s="132"/>
      <c r="G10" s="135">
        <f>SUM(Table161323[Укупна цена без ПДВ - а])</f>
        <v>0</v>
      </c>
      <c r="H10" s="135"/>
      <c r="I10" s="135"/>
      <c r="J10" s="135">
        <f>SUM(Table161323[Укупна цена са ПДВ - ом])</f>
        <v>0</v>
      </c>
      <c r="K10" s="135"/>
      <c r="L10" s="135"/>
    </row>
    <row r="11" spans="1:12" ht="15.75" thickBot="1" x14ac:dyDescent="0.3">
      <c r="A11" s="133"/>
      <c r="B11" s="133"/>
      <c r="C11" s="133"/>
      <c r="D11" s="133"/>
      <c r="E11" s="133"/>
      <c r="F11" s="133"/>
      <c r="G11" s="136"/>
      <c r="H11" s="136"/>
      <c r="I11" s="136"/>
      <c r="J11" s="136"/>
      <c r="K11" s="136"/>
      <c r="L11" s="136"/>
    </row>
    <row r="12" spans="1:12" ht="15.75" thickBot="1" x14ac:dyDescent="0.3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</row>
    <row r="13" spans="1:12" ht="15.75" customHeight="1" thickTop="1" x14ac:dyDescent="0.25">
      <c r="A13" s="141" t="s">
        <v>24</v>
      </c>
      <c r="B13" s="141"/>
      <c r="C13" s="144" t="s">
        <v>69</v>
      </c>
      <c r="D13" s="144"/>
      <c r="E13" s="144"/>
      <c r="F13" s="144"/>
      <c r="G13" s="144"/>
      <c r="H13" s="144"/>
      <c r="I13" s="144"/>
      <c r="J13" s="144"/>
      <c r="K13" s="144"/>
      <c r="L13" s="144"/>
    </row>
    <row r="14" spans="1:12" ht="15" customHeight="1" x14ac:dyDescent="0.25">
      <c r="A14" s="142"/>
      <c r="B14" s="142"/>
      <c r="C14" s="145"/>
      <c r="D14" s="145"/>
      <c r="E14" s="145"/>
      <c r="F14" s="145"/>
      <c r="G14" s="145"/>
      <c r="H14" s="145"/>
      <c r="I14" s="145"/>
      <c r="J14" s="145"/>
      <c r="K14" s="145"/>
      <c r="L14" s="145"/>
    </row>
    <row r="15" spans="1:12" ht="15.75" customHeight="1" thickBot="1" x14ac:dyDescent="0.3">
      <c r="A15" s="143"/>
      <c r="B15" s="143"/>
      <c r="C15" s="146"/>
      <c r="D15" s="146"/>
      <c r="E15" s="146"/>
      <c r="F15" s="146"/>
      <c r="G15" s="146"/>
      <c r="H15" s="146"/>
      <c r="I15" s="146"/>
      <c r="J15" s="146"/>
      <c r="K15" s="146"/>
      <c r="L15" s="146"/>
    </row>
    <row r="16" spans="1:12" ht="15.75" thickTop="1" x14ac:dyDescent="0.25"/>
    <row r="17" spans="10:11" x14ac:dyDescent="0.25">
      <c r="J17" s="137" t="s">
        <v>18</v>
      </c>
      <c r="K17" s="137"/>
    </row>
    <row r="18" spans="10:11" x14ac:dyDescent="0.25">
      <c r="J18" s="137"/>
      <c r="K18" s="137"/>
    </row>
    <row r="19" spans="10:11" x14ac:dyDescent="0.25">
      <c r="J19" s="138"/>
      <c r="K19" s="138"/>
    </row>
    <row r="20" spans="10:11" ht="15.75" thickBot="1" x14ac:dyDescent="0.3">
      <c r="J20" s="109"/>
      <c r="K20" s="109"/>
    </row>
    <row r="21" spans="10:11" x14ac:dyDescent="0.25">
      <c r="J21" s="139" t="s">
        <v>17</v>
      </c>
      <c r="K21" s="139"/>
    </row>
    <row r="22" spans="10:11" x14ac:dyDescent="0.25">
      <c r="J22" s="140"/>
      <c r="K22" s="140"/>
    </row>
  </sheetData>
  <mergeCells count="16">
    <mergeCell ref="J21:K22"/>
    <mergeCell ref="A1:L1"/>
    <mergeCell ref="A2:F3"/>
    <mergeCell ref="G2:L3"/>
    <mergeCell ref="A4:L4"/>
    <mergeCell ref="A8:L8"/>
    <mergeCell ref="A9:F11"/>
    <mergeCell ref="G9:I9"/>
    <mergeCell ref="J9:L9"/>
    <mergeCell ref="G10:I11"/>
    <mergeCell ref="J10:L11"/>
    <mergeCell ref="A12:L12"/>
    <mergeCell ref="A13:B15"/>
    <mergeCell ref="C13:L15"/>
    <mergeCell ref="J17:K18"/>
    <mergeCell ref="J19:K20"/>
  </mergeCells>
  <pageMargins left="0.7" right="0.7" top="0.75" bottom="0.75" header="0.3" footer="0.3"/>
  <pageSetup scale="58" orientation="landscape" r:id="rId1"/>
  <colBreaks count="1" manualBreakCount="1">
    <brk id="12" max="1048575" man="1"/>
  </col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>
      <selection sqref="A1:L1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x14ac:dyDescent="0.25">
      <c r="A2" s="127" t="s">
        <v>13</v>
      </c>
      <c r="B2" s="127"/>
      <c r="C2" s="127"/>
      <c r="D2" s="127"/>
      <c r="E2" s="127"/>
      <c r="F2" s="127"/>
      <c r="G2" s="129" t="s">
        <v>74</v>
      </c>
      <c r="H2" s="129"/>
      <c r="I2" s="129"/>
      <c r="J2" s="129"/>
      <c r="K2" s="129"/>
      <c r="L2" s="129"/>
    </row>
    <row r="3" spans="1:12" ht="15.75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45.75" thickBot="1" x14ac:dyDescent="0.3">
      <c r="A6" s="54">
        <v>1</v>
      </c>
      <c r="B6" s="55" t="s">
        <v>75</v>
      </c>
      <c r="C6" s="56" t="s">
        <v>76</v>
      </c>
      <c r="D6" s="57" t="s">
        <v>33</v>
      </c>
      <c r="E6" s="58">
        <v>150</v>
      </c>
      <c r="F6" s="59">
        <v>0</v>
      </c>
      <c r="G6" s="60">
        <v>0</v>
      </c>
      <c r="H6" s="59">
        <f>Table161324[[#This Row],[Количина]]*Table161324[[#This Row],[Цена по ЈМ без ПДВ – а]]</f>
        <v>0</v>
      </c>
      <c r="I6" s="61">
        <f>Table161324[[#This Row],[Стопа ПДВ - а]]*Table161324[[#This Row],[Укупна цена без ПДВ - а]]</f>
        <v>0</v>
      </c>
      <c r="J6" s="59">
        <f>Table161324[[#This Row],[Укупна цена без ПДВ - а]]+Table161324[[#This Row],[Укупно ПДВ]]</f>
        <v>0</v>
      </c>
      <c r="K6" s="62"/>
      <c r="L6" s="63"/>
    </row>
    <row r="7" spans="1:12" ht="15.75" thickBot="1" x14ac:dyDescent="0.3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spans="1:12" x14ac:dyDescent="0.25">
      <c r="A8" s="131" t="s">
        <v>14</v>
      </c>
      <c r="B8" s="131"/>
      <c r="C8" s="131"/>
      <c r="D8" s="131"/>
      <c r="E8" s="131"/>
      <c r="F8" s="131"/>
      <c r="G8" s="134" t="s">
        <v>15</v>
      </c>
      <c r="H8" s="134"/>
      <c r="I8" s="134"/>
      <c r="J8" s="134" t="s">
        <v>16</v>
      </c>
      <c r="K8" s="134"/>
      <c r="L8" s="134"/>
    </row>
    <row r="9" spans="1:12" x14ac:dyDescent="0.25">
      <c r="A9" s="132"/>
      <c r="B9" s="132"/>
      <c r="C9" s="132"/>
      <c r="D9" s="132"/>
      <c r="E9" s="132"/>
      <c r="F9" s="132"/>
      <c r="G9" s="135">
        <f>SUM(Table161324[Укупна цена без ПДВ - а])</f>
        <v>0</v>
      </c>
      <c r="H9" s="135"/>
      <c r="I9" s="135"/>
      <c r="J9" s="135">
        <f>SUM(Table161324[Укупна цена са ПДВ - ом])</f>
        <v>0</v>
      </c>
      <c r="K9" s="135"/>
      <c r="L9" s="135"/>
    </row>
    <row r="10" spans="1:12" ht="15.75" thickBot="1" x14ac:dyDescent="0.3">
      <c r="A10" s="133"/>
      <c r="B10" s="133"/>
      <c r="C10" s="133"/>
      <c r="D10" s="133"/>
      <c r="E10" s="133"/>
      <c r="F10" s="133"/>
      <c r="G10" s="136"/>
      <c r="H10" s="136"/>
      <c r="I10" s="136"/>
      <c r="J10" s="136"/>
      <c r="K10" s="136"/>
      <c r="L10" s="136"/>
    </row>
    <row r="11" spans="1:12" ht="15.75" thickBot="1" x14ac:dyDescent="0.3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</row>
    <row r="12" spans="1:12" ht="15.75" customHeight="1" thickTop="1" x14ac:dyDescent="0.25">
      <c r="A12" s="141" t="s">
        <v>24</v>
      </c>
      <c r="B12" s="141"/>
      <c r="C12" s="150" t="s">
        <v>69</v>
      </c>
      <c r="D12" s="150"/>
      <c r="E12" s="150"/>
      <c r="F12" s="150"/>
      <c r="G12" s="150"/>
      <c r="H12" s="150"/>
      <c r="I12" s="150"/>
      <c r="J12" s="150"/>
      <c r="K12" s="150"/>
      <c r="L12" s="150"/>
    </row>
    <row r="13" spans="1:12" ht="15" customHeight="1" x14ac:dyDescent="0.25">
      <c r="A13" s="142"/>
      <c r="B13" s="142"/>
      <c r="C13" s="151"/>
      <c r="D13" s="151"/>
      <c r="E13" s="151"/>
      <c r="F13" s="151"/>
      <c r="G13" s="151"/>
      <c r="H13" s="151"/>
      <c r="I13" s="151"/>
      <c r="J13" s="151"/>
      <c r="K13" s="151"/>
      <c r="L13" s="151"/>
    </row>
    <row r="14" spans="1:12" ht="15.75" customHeight="1" thickBot="1" x14ac:dyDescent="0.3">
      <c r="A14" s="143"/>
      <c r="B14" s="143"/>
      <c r="C14" s="152"/>
      <c r="D14" s="152"/>
      <c r="E14" s="152"/>
      <c r="F14" s="152"/>
      <c r="G14" s="152"/>
      <c r="H14" s="152"/>
      <c r="I14" s="152"/>
      <c r="J14" s="152"/>
      <c r="K14" s="152"/>
      <c r="L14" s="152"/>
    </row>
    <row r="15" spans="1:12" ht="15.75" thickTop="1" x14ac:dyDescent="0.25"/>
    <row r="16" spans="1:12" x14ac:dyDescent="0.25">
      <c r="J16" s="137" t="s">
        <v>18</v>
      </c>
      <c r="K16" s="137"/>
    </row>
    <row r="17" spans="10:11" x14ac:dyDescent="0.25">
      <c r="J17" s="137"/>
      <c r="K17" s="137"/>
    </row>
    <row r="18" spans="10:11" x14ac:dyDescent="0.25">
      <c r="J18" s="138"/>
      <c r="K18" s="138"/>
    </row>
    <row r="19" spans="10:11" ht="15.75" thickBot="1" x14ac:dyDescent="0.3">
      <c r="J19" s="109"/>
      <c r="K19" s="109"/>
    </row>
    <row r="20" spans="10:11" x14ac:dyDescent="0.25">
      <c r="J20" s="139" t="s">
        <v>17</v>
      </c>
      <c r="K20" s="139"/>
    </row>
    <row r="21" spans="10:11" x14ac:dyDescent="0.25">
      <c r="J21" s="140"/>
      <c r="K21" s="140"/>
    </row>
  </sheetData>
  <mergeCells count="16">
    <mergeCell ref="J20:K21"/>
    <mergeCell ref="A1:L1"/>
    <mergeCell ref="A2:F3"/>
    <mergeCell ref="G2:L3"/>
    <mergeCell ref="A4:L4"/>
    <mergeCell ref="A7:L7"/>
    <mergeCell ref="A8:F10"/>
    <mergeCell ref="G8:I8"/>
    <mergeCell ref="J8:L8"/>
    <mergeCell ref="G9:I10"/>
    <mergeCell ref="J9:L10"/>
    <mergeCell ref="A11:L11"/>
    <mergeCell ref="A12:B14"/>
    <mergeCell ref="C12:L14"/>
    <mergeCell ref="J16:K17"/>
    <mergeCell ref="J18:K19"/>
  </mergeCells>
  <pageMargins left="0.7" right="0.7" top="0.75" bottom="0.75" header="0.3" footer="0.3"/>
  <pageSetup scale="58" orientation="landscape" r:id="rId1"/>
  <colBreaks count="1" manualBreakCount="1">
    <brk id="12" max="104857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workbookViewId="0">
      <selection sqref="A1:L1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x14ac:dyDescent="0.25">
      <c r="A2" s="127" t="s">
        <v>13</v>
      </c>
      <c r="B2" s="127"/>
      <c r="C2" s="127"/>
      <c r="D2" s="127"/>
      <c r="E2" s="127"/>
      <c r="F2" s="127"/>
      <c r="G2" s="129" t="s">
        <v>77</v>
      </c>
      <c r="H2" s="129"/>
      <c r="I2" s="129"/>
      <c r="J2" s="129"/>
      <c r="K2" s="129"/>
      <c r="L2" s="129"/>
    </row>
    <row r="3" spans="1:12" ht="15.75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30" x14ac:dyDescent="0.25">
      <c r="A6" s="5">
        <v>1</v>
      </c>
      <c r="B6" s="37" t="s">
        <v>79</v>
      </c>
      <c r="C6" s="40" t="s">
        <v>78</v>
      </c>
      <c r="D6" s="16" t="s">
        <v>33</v>
      </c>
      <c r="E6" s="11">
        <v>100</v>
      </c>
      <c r="F6" s="17">
        <v>0</v>
      </c>
      <c r="G6" s="25">
        <v>0</v>
      </c>
      <c r="H6" s="17">
        <f>Table161326[[#This Row],[Количина]]*Table161326[[#This Row],[Цена по ЈМ без ПДВ – а]]</f>
        <v>0</v>
      </c>
      <c r="I6" s="18">
        <f>Table161326[[#This Row],[Стопа ПДВ - а]]*Table161326[[#This Row],[Укупна цена без ПДВ - а]]</f>
        <v>0</v>
      </c>
      <c r="J6" s="17">
        <f>Table161326[[#This Row],[Укупна цена без ПДВ - а]]+Table161326[[#This Row],[Укупно ПДВ]]</f>
        <v>0</v>
      </c>
      <c r="K6" s="31"/>
      <c r="L6" s="32"/>
    </row>
    <row r="7" spans="1:12" ht="45" x14ac:dyDescent="0.25">
      <c r="A7" s="6">
        <v>2</v>
      </c>
      <c r="B7" s="38" t="s">
        <v>80</v>
      </c>
      <c r="C7" s="41" t="s">
        <v>71</v>
      </c>
      <c r="D7" s="16" t="s">
        <v>33</v>
      </c>
      <c r="E7" s="12">
        <v>50</v>
      </c>
      <c r="F7" s="19">
        <v>0</v>
      </c>
      <c r="G7" s="26">
        <v>0</v>
      </c>
      <c r="H7" s="19">
        <f>Table161326[[#This Row],[Количина]]*Table161326[[#This Row],[Цена по ЈМ без ПДВ – а]]</f>
        <v>0</v>
      </c>
      <c r="I7" s="20">
        <f>Table161326[[#This Row],[Стопа ПДВ - а]]*Table161326[[#This Row],[Укупна цена без ПДВ - а]]</f>
        <v>0</v>
      </c>
      <c r="J7" s="19">
        <f>Table161326[[#This Row],[Укупна цена без ПДВ - а]]+Table161326[[#This Row],[Укупно ПДВ]]</f>
        <v>0</v>
      </c>
      <c r="K7" s="33"/>
      <c r="L7" s="34"/>
    </row>
    <row r="8" spans="1:12" ht="45" x14ac:dyDescent="0.25">
      <c r="A8" s="6">
        <v>3</v>
      </c>
      <c r="B8" s="38" t="s">
        <v>80</v>
      </c>
      <c r="C8" s="41" t="s">
        <v>81</v>
      </c>
      <c r="D8" s="16" t="s">
        <v>33</v>
      </c>
      <c r="E8" s="12">
        <v>50</v>
      </c>
      <c r="F8" s="19">
        <v>0</v>
      </c>
      <c r="G8" s="26">
        <v>0</v>
      </c>
      <c r="H8" s="19">
        <f>Table161326[[#This Row],[Количина]]*Table161326[[#This Row],[Цена по ЈМ без ПДВ – а]]</f>
        <v>0</v>
      </c>
      <c r="I8" s="20">
        <f>Table161326[[#This Row],[Стопа ПДВ - а]]*Table161326[[#This Row],[Укупна цена без ПДВ - а]]</f>
        <v>0</v>
      </c>
      <c r="J8" s="19">
        <f>Table161326[[#This Row],[Укупна цена без ПДВ - а]]+Table161326[[#This Row],[Укупно ПДВ]]</f>
        <v>0</v>
      </c>
      <c r="K8" s="33"/>
      <c r="L8" s="34"/>
    </row>
    <row r="9" spans="1:12" ht="19.5" thickBot="1" x14ac:dyDescent="0.3">
      <c r="A9" s="8">
        <v>4</v>
      </c>
      <c r="B9" s="42" t="s">
        <v>80</v>
      </c>
      <c r="C9" s="44" t="s">
        <v>82</v>
      </c>
      <c r="D9" s="64" t="s">
        <v>33</v>
      </c>
      <c r="E9" s="14">
        <v>50</v>
      </c>
      <c r="F9" s="23">
        <v>0</v>
      </c>
      <c r="G9" s="28">
        <v>0</v>
      </c>
      <c r="H9" s="23">
        <f>Table161326[[#This Row],[Количина]]*Table161326[[#This Row],[Цена по ЈМ без ПДВ – а]]</f>
        <v>0</v>
      </c>
      <c r="I9" s="24">
        <f>Table161326[[#This Row],[Стопа ПДВ - а]]*Table161326[[#This Row],[Укупна цена без ПДВ - а]]</f>
        <v>0</v>
      </c>
      <c r="J9" s="23">
        <f>Table161326[[#This Row],[Укупна цена без ПДВ - а]]+Table161326[[#This Row],[Укупно ПДВ]]</f>
        <v>0</v>
      </c>
      <c r="K9" s="65"/>
      <c r="L9" s="66"/>
    </row>
    <row r="10" spans="1:12" ht="15.75" thickBot="1" x14ac:dyDescent="0.3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</row>
    <row r="11" spans="1:12" x14ac:dyDescent="0.25">
      <c r="A11" s="131" t="s">
        <v>14</v>
      </c>
      <c r="B11" s="131"/>
      <c r="C11" s="131"/>
      <c r="D11" s="131"/>
      <c r="E11" s="131"/>
      <c r="F11" s="131"/>
      <c r="G11" s="134" t="s">
        <v>15</v>
      </c>
      <c r="H11" s="134"/>
      <c r="I11" s="134"/>
      <c r="J11" s="134" t="s">
        <v>16</v>
      </c>
      <c r="K11" s="134"/>
      <c r="L11" s="134"/>
    </row>
    <row r="12" spans="1:12" x14ac:dyDescent="0.25">
      <c r="A12" s="132"/>
      <c r="B12" s="132"/>
      <c r="C12" s="132"/>
      <c r="D12" s="132"/>
      <c r="E12" s="132"/>
      <c r="F12" s="132"/>
      <c r="G12" s="135">
        <f>SUM(Table161326[Укупна цена без ПДВ - а])</f>
        <v>0</v>
      </c>
      <c r="H12" s="135"/>
      <c r="I12" s="135"/>
      <c r="J12" s="135">
        <f>SUM(Table161326[Укупна цена са ПДВ - ом])</f>
        <v>0</v>
      </c>
      <c r="K12" s="135"/>
      <c r="L12" s="135"/>
    </row>
    <row r="13" spans="1:12" ht="15.75" thickBot="1" x14ac:dyDescent="0.3">
      <c r="A13" s="133"/>
      <c r="B13" s="133"/>
      <c r="C13" s="133"/>
      <c r="D13" s="133"/>
      <c r="E13" s="133"/>
      <c r="F13" s="133"/>
      <c r="G13" s="136"/>
      <c r="H13" s="136"/>
      <c r="I13" s="136"/>
      <c r="J13" s="136"/>
      <c r="K13" s="136"/>
      <c r="L13" s="136"/>
    </row>
    <row r="14" spans="1:12" ht="15.75" thickBot="1" x14ac:dyDescent="0.3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</row>
    <row r="15" spans="1:12" ht="15.75" customHeight="1" thickTop="1" x14ac:dyDescent="0.25">
      <c r="A15" s="141" t="s">
        <v>24</v>
      </c>
      <c r="B15" s="141"/>
      <c r="C15" s="144" t="s">
        <v>69</v>
      </c>
      <c r="D15" s="144"/>
      <c r="E15" s="144"/>
      <c r="F15" s="144"/>
      <c r="G15" s="144"/>
      <c r="H15" s="144"/>
      <c r="I15" s="144"/>
      <c r="J15" s="144"/>
      <c r="K15" s="144"/>
      <c r="L15" s="144"/>
    </row>
    <row r="16" spans="1:12" ht="15" customHeight="1" x14ac:dyDescent="0.25">
      <c r="A16" s="142"/>
      <c r="B16" s="142"/>
      <c r="C16" s="145"/>
      <c r="D16" s="145"/>
      <c r="E16" s="145"/>
      <c r="F16" s="145"/>
      <c r="G16" s="145"/>
      <c r="H16" s="145"/>
      <c r="I16" s="145"/>
      <c r="J16" s="145"/>
      <c r="K16" s="145"/>
      <c r="L16" s="145"/>
    </row>
    <row r="17" spans="1:12" ht="15.75" customHeight="1" thickBot="1" x14ac:dyDescent="0.3">
      <c r="A17" s="143"/>
      <c r="B17" s="143"/>
      <c r="C17" s="146"/>
      <c r="D17" s="146"/>
      <c r="E17" s="146"/>
      <c r="F17" s="146"/>
      <c r="G17" s="146"/>
      <c r="H17" s="146"/>
      <c r="I17" s="146"/>
      <c r="J17" s="146"/>
      <c r="K17" s="146"/>
      <c r="L17" s="146"/>
    </row>
    <row r="18" spans="1:12" ht="15.75" thickTop="1" x14ac:dyDescent="0.25"/>
    <row r="19" spans="1:12" x14ac:dyDescent="0.25">
      <c r="J19" s="137" t="s">
        <v>18</v>
      </c>
      <c r="K19" s="137"/>
    </row>
    <row r="20" spans="1:12" x14ac:dyDescent="0.25">
      <c r="J20" s="137"/>
      <c r="K20" s="137"/>
    </row>
    <row r="21" spans="1:12" x14ac:dyDescent="0.25">
      <c r="J21" s="138"/>
      <c r="K21" s="138"/>
    </row>
    <row r="22" spans="1:12" ht="15.75" thickBot="1" x14ac:dyDescent="0.3">
      <c r="J22" s="109"/>
      <c r="K22" s="109"/>
    </row>
    <row r="23" spans="1:12" x14ac:dyDescent="0.25">
      <c r="J23" s="139" t="s">
        <v>17</v>
      </c>
      <c r="K23" s="139"/>
    </row>
    <row r="24" spans="1:12" x14ac:dyDescent="0.25">
      <c r="J24" s="140"/>
      <c r="K24" s="140"/>
    </row>
  </sheetData>
  <mergeCells count="16">
    <mergeCell ref="J23:K24"/>
    <mergeCell ref="A1:L1"/>
    <mergeCell ref="A2:F3"/>
    <mergeCell ref="G2:L3"/>
    <mergeCell ref="A4:L4"/>
    <mergeCell ref="A10:L10"/>
    <mergeCell ref="A11:F13"/>
    <mergeCell ref="G11:I11"/>
    <mergeCell ref="J11:L11"/>
    <mergeCell ref="G12:I13"/>
    <mergeCell ref="J12:L13"/>
    <mergeCell ref="A14:L14"/>
    <mergeCell ref="A15:B17"/>
    <mergeCell ref="C15:L17"/>
    <mergeCell ref="J19:K20"/>
    <mergeCell ref="J21:K22"/>
  </mergeCells>
  <pageMargins left="0.7" right="0.7" top="0.75" bottom="0.75" header="0.3" footer="0.3"/>
  <pageSetup scale="58" orientation="landscape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workbookViewId="0">
      <selection sqref="A1:L1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x14ac:dyDescent="0.25">
      <c r="A2" s="127" t="s">
        <v>13</v>
      </c>
      <c r="B2" s="127"/>
      <c r="C2" s="127"/>
      <c r="D2" s="127"/>
      <c r="E2" s="127"/>
      <c r="F2" s="127"/>
      <c r="G2" s="129" t="s">
        <v>91</v>
      </c>
      <c r="H2" s="129"/>
      <c r="I2" s="129"/>
      <c r="J2" s="129"/>
      <c r="K2" s="129"/>
      <c r="L2" s="129"/>
    </row>
    <row r="3" spans="1:12" ht="15.75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45" x14ac:dyDescent="0.25">
      <c r="A6" s="5">
        <v>1</v>
      </c>
      <c r="B6" s="37" t="s">
        <v>83</v>
      </c>
      <c r="C6" s="40" t="s">
        <v>84</v>
      </c>
      <c r="D6" s="16" t="s">
        <v>33</v>
      </c>
      <c r="E6" s="11">
        <v>100</v>
      </c>
      <c r="F6" s="17">
        <v>0</v>
      </c>
      <c r="G6" s="25">
        <v>0</v>
      </c>
      <c r="H6" s="17">
        <f>Table161327[[#This Row],[Количина]]*Table161327[[#This Row],[Цена по ЈМ без ПДВ – а]]</f>
        <v>0</v>
      </c>
      <c r="I6" s="18">
        <f>Table161327[[#This Row],[Стопа ПДВ - а]]*Table161327[[#This Row],[Укупна цена без ПДВ - а]]</f>
        <v>0</v>
      </c>
      <c r="J6" s="17">
        <f>Table161327[[#This Row],[Укупна цена без ПДВ - а]]+Table161327[[#This Row],[Укупно ПДВ]]</f>
        <v>0</v>
      </c>
      <c r="K6" s="31"/>
      <c r="L6" s="32"/>
    </row>
    <row r="7" spans="1:12" ht="30" x14ac:dyDescent="0.25">
      <c r="A7" s="6">
        <v>2</v>
      </c>
      <c r="B7" s="38" t="s">
        <v>85</v>
      </c>
      <c r="C7" s="41" t="s">
        <v>86</v>
      </c>
      <c r="D7" s="16" t="s">
        <v>33</v>
      </c>
      <c r="E7" s="12">
        <v>50</v>
      </c>
      <c r="F7" s="19">
        <v>0</v>
      </c>
      <c r="G7" s="26">
        <v>0</v>
      </c>
      <c r="H7" s="19">
        <f>Table161327[[#This Row],[Количина]]*Table161327[[#This Row],[Цена по ЈМ без ПДВ – а]]</f>
        <v>0</v>
      </c>
      <c r="I7" s="20">
        <f>Table161327[[#This Row],[Стопа ПДВ - а]]*Table161327[[#This Row],[Укупна цена без ПДВ - а]]</f>
        <v>0</v>
      </c>
      <c r="J7" s="19">
        <f>Table161327[[#This Row],[Укупна цена без ПДВ - а]]+Table161327[[#This Row],[Укупно ПДВ]]</f>
        <v>0</v>
      </c>
      <c r="K7" s="33"/>
      <c r="L7" s="34"/>
    </row>
    <row r="8" spans="1:12" ht="30" x14ac:dyDescent="0.25">
      <c r="A8" s="6">
        <v>3</v>
      </c>
      <c r="B8" s="38" t="s">
        <v>87</v>
      </c>
      <c r="C8" s="41" t="s">
        <v>88</v>
      </c>
      <c r="D8" s="16" t="s">
        <v>33</v>
      </c>
      <c r="E8" s="12">
        <v>100</v>
      </c>
      <c r="F8" s="19">
        <v>0</v>
      </c>
      <c r="G8" s="26">
        <v>0</v>
      </c>
      <c r="H8" s="19">
        <f>Table161327[[#This Row],[Количина]]*Table161327[[#This Row],[Цена по ЈМ без ПДВ – а]]</f>
        <v>0</v>
      </c>
      <c r="I8" s="20">
        <f>Table161327[[#This Row],[Стопа ПДВ - а]]*Table161327[[#This Row],[Укупна цена без ПДВ - а]]</f>
        <v>0</v>
      </c>
      <c r="J8" s="19">
        <f>Table161327[[#This Row],[Укупна цена без ПДВ - а]]+Table161327[[#This Row],[Укупно ПДВ]]</f>
        <v>0</v>
      </c>
      <c r="K8" s="33"/>
      <c r="L8" s="34"/>
    </row>
    <row r="9" spans="1:12" ht="19.5" thickBot="1" x14ac:dyDescent="0.3">
      <c r="A9" s="45">
        <v>4</v>
      </c>
      <c r="B9" s="46" t="s">
        <v>89</v>
      </c>
      <c r="C9" s="47" t="s">
        <v>90</v>
      </c>
      <c r="D9" s="29" t="s">
        <v>33</v>
      </c>
      <c r="E9" s="48">
        <v>50</v>
      </c>
      <c r="F9" s="49">
        <v>0</v>
      </c>
      <c r="G9" s="50">
        <v>0</v>
      </c>
      <c r="H9" s="49">
        <f>Table161327[[#This Row],[Количина]]*Table161327[[#This Row],[Цена по ЈМ без ПДВ – а]]</f>
        <v>0</v>
      </c>
      <c r="I9" s="51">
        <f>Table161327[[#This Row],[Стопа ПДВ - а]]*Table161327[[#This Row],[Укупна цена без ПДВ - а]]</f>
        <v>0</v>
      </c>
      <c r="J9" s="49">
        <f>Table161327[[#This Row],[Укупна цена без ПДВ - а]]+Table161327[[#This Row],[Укупно ПДВ]]</f>
        <v>0</v>
      </c>
      <c r="K9" s="52"/>
      <c r="L9" s="53"/>
    </row>
    <row r="10" spans="1:12" ht="15.75" thickBot="1" x14ac:dyDescent="0.3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</row>
    <row r="11" spans="1:12" x14ac:dyDescent="0.25">
      <c r="A11" s="131" t="s">
        <v>14</v>
      </c>
      <c r="B11" s="131"/>
      <c r="C11" s="131"/>
      <c r="D11" s="131"/>
      <c r="E11" s="131"/>
      <c r="F11" s="131"/>
      <c r="G11" s="134" t="s">
        <v>15</v>
      </c>
      <c r="H11" s="134"/>
      <c r="I11" s="134"/>
      <c r="J11" s="134" t="s">
        <v>16</v>
      </c>
      <c r="K11" s="134"/>
      <c r="L11" s="134"/>
    </row>
    <row r="12" spans="1:12" x14ac:dyDescent="0.25">
      <c r="A12" s="132"/>
      <c r="B12" s="132"/>
      <c r="C12" s="132"/>
      <c r="D12" s="132"/>
      <c r="E12" s="132"/>
      <c r="F12" s="132"/>
      <c r="G12" s="135">
        <f>SUM(Table161327[Укупна цена без ПДВ - а])</f>
        <v>0</v>
      </c>
      <c r="H12" s="135"/>
      <c r="I12" s="135"/>
      <c r="J12" s="135">
        <f>SUM(Table161327[Укупна цена са ПДВ - ом])</f>
        <v>0</v>
      </c>
      <c r="K12" s="135"/>
      <c r="L12" s="135"/>
    </row>
    <row r="13" spans="1:12" ht="15.75" thickBot="1" x14ac:dyDescent="0.3">
      <c r="A13" s="133"/>
      <c r="B13" s="133"/>
      <c r="C13" s="133"/>
      <c r="D13" s="133"/>
      <c r="E13" s="133"/>
      <c r="F13" s="133"/>
      <c r="G13" s="136"/>
      <c r="H13" s="136"/>
      <c r="I13" s="136"/>
      <c r="J13" s="136"/>
      <c r="K13" s="136"/>
      <c r="L13" s="136"/>
    </row>
    <row r="14" spans="1:12" ht="15.75" thickBot="1" x14ac:dyDescent="0.3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</row>
    <row r="15" spans="1:12" ht="15.75" customHeight="1" thickTop="1" x14ac:dyDescent="0.25">
      <c r="A15" s="141" t="s">
        <v>24</v>
      </c>
      <c r="B15" s="141"/>
      <c r="C15" s="144" t="s">
        <v>69</v>
      </c>
      <c r="D15" s="144"/>
      <c r="E15" s="144"/>
      <c r="F15" s="144"/>
      <c r="G15" s="144"/>
      <c r="H15" s="144"/>
      <c r="I15" s="144"/>
      <c r="J15" s="144"/>
      <c r="K15" s="144"/>
      <c r="L15" s="144"/>
    </row>
    <row r="16" spans="1:12" ht="15" customHeight="1" x14ac:dyDescent="0.25">
      <c r="A16" s="142"/>
      <c r="B16" s="142"/>
      <c r="C16" s="145"/>
      <c r="D16" s="145"/>
      <c r="E16" s="145"/>
      <c r="F16" s="145"/>
      <c r="G16" s="145"/>
      <c r="H16" s="145"/>
      <c r="I16" s="145"/>
      <c r="J16" s="145"/>
      <c r="K16" s="145"/>
      <c r="L16" s="145"/>
    </row>
    <row r="17" spans="1:12" ht="15.75" customHeight="1" thickBot="1" x14ac:dyDescent="0.3">
      <c r="A17" s="143"/>
      <c r="B17" s="143"/>
      <c r="C17" s="146"/>
      <c r="D17" s="146"/>
      <c r="E17" s="146"/>
      <c r="F17" s="146"/>
      <c r="G17" s="146"/>
      <c r="H17" s="146"/>
      <c r="I17" s="146"/>
      <c r="J17" s="146"/>
      <c r="K17" s="146"/>
      <c r="L17" s="146"/>
    </row>
    <row r="18" spans="1:12" ht="15.75" thickTop="1" x14ac:dyDescent="0.25"/>
    <row r="19" spans="1:12" x14ac:dyDescent="0.25">
      <c r="J19" s="137" t="s">
        <v>18</v>
      </c>
      <c r="K19" s="137"/>
    </row>
    <row r="20" spans="1:12" x14ac:dyDescent="0.25">
      <c r="J20" s="137"/>
      <c r="K20" s="137"/>
    </row>
    <row r="21" spans="1:12" x14ac:dyDescent="0.25">
      <c r="J21" s="138"/>
      <c r="K21" s="138"/>
    </row>
    <row r="22" spans="1:12" ht="15.75" thickBot="1" x14ac:dyDescent="0.3">
      <c r="J22" s="109"/>
      <c r="K22" s="109"/>
    </row>
    <row r="23" spans="1:12" x14ac:dyDescent="0.25">
      <c r="J23" s="139" t="s">
        <v>17</v>
      </c>
      <c r="K23" s="139"/>
    </row>
    <row r="24" spans="1:12" x14ac:dyDescent="0.25">
      <c r="J24" s="140"/>
      <c r="K24" s="140"/>
    </row>
  </sheetData>
  <mergeCells count="16">
    <mergeCell ref="J23:K24"/>
    <mergeCell ref="A1:L1"/>
    <mergeCell ref="A2:F3"/>
    <mergeCell ref="G2:L3"/>
    <mergeCell ref="A4:L4"/>
    <mergeCell ref="A10:L10"/>
    <mergeCell ref="A11:F13"/>
    <mergeCell ref="G11:I11"/>
    <mergeCell ref="J11:L11"/>
    <mergeCell ref="G12:I13"/>
    <mergeCell ref="J12:L13"/>
    <mergeCell ref="A14:L14"/>
    <mergeCell ref="A15:B17"/>
    <mergeCell ref="C15:L17"/>
    <mergeCell ref="J19:K20"/>
    <mergeCell ref="J21:K22"/>
  </mergeCells>
  <pageMargins left="0.7" right="0.7" top="0.75" bottom="0.75" header="0.3" footer="0.3"/>
  <pageSetup scale="58" orientation="landscape" r:id="rId1"/>
  <colBreaks count="1" manualBreakCount="1">
    <brk id="12" max="1048575" man="1"/>
  </colBreaks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sqref="A1:L1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x14ac:dyDescent="0.25">
      <c r="A2" s="127" t="s">
        <v>13</v>
      </c>
      <c r="B2" s="127"/>
      <c r="C2" s="127"/>
      <c r="D2" s="127"/>
      <c r="E2" s="127"/>
      <c r="F2" s="127"/>
      <c r="G2" s="129" t="s">
        <v>92</v>
      </c>
      <c r="H2" s="129"/>
      <c r="I2" s="129"/>
      <c r="J2" s="129"/>
      <c r="K2" s="129"/>
      <c r="L2" s="129"/>
    </row>
    <row r="3" spans="1:12" ht="15.75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30" x14ac:dyDescent="0.25">
      <c r="A6" s="5">
        <v>1</v>
      </c>
      <c r="B6" s="37" t="s">
        <v>94</v>
      </c>
      <c r="C6" s="40" t="s">
        <v>93</v>
      </c>
      <c r="D6" s="16" t="s">
        <v>33</v>
      </c>
      <c r="E6" s="11">
        <v>2000</v>
      </c>
      <c r="F6" s="17">
        <v>0</v>
      </c>
      <c r="G6" s="25">
        <v>0</v>
      </c>
      <c r="H6" s="17">
        <f>Table161330[[#This Row],[Количина]]*Table161330[[#This Row],[Цена по ЈМ без ПДВ – а]]</f>
        <v>0</v>
      </c>
      <c r="I6" s="18">
        <f>Table161330[[#This Row],[Стопа ПДВ - а]]*Table161330[[#This Row],[Укупна цена без ПДВ - а]]</f>
        <v>0</v>
      </c>
      <c r="J6" s="17">
        <f>Table161330[[#This Row],[Укупна цена без ПДВ - а]]+Table161330[[#This Row],[Укупно ПДВ]]</f>
        <v>0</v>
      </c>
      <c r="K6" s="31"/>
      <c r="L6" s="32"/>
    </row>
    <row r="7" spans="1:12" ht="30" x14ac:dyDescent="0.25">
      <c r="A7" s="6">
        <v>2</v>
      </c>
      <c r="B7" s="38" t="s">
        <v>94</v>
      </c>
      <c r="C7" s="41" t="s">
        <v>95</v>
      </c>
      <c r="D7" s="16" t="s">
        <v>33</v>
      </c>
      <c r="E7" s="12">
        <v>200</v>
      </c>
      <c r="F7" s="19">
        <v>0</v>
      </c>
      <c r="G7" s="26">
        <v>0</v>
      </c>
      <c r="H7" s="19">
        <f>Table161330[[#This Row],[Количина]]*Table161330[[#This Row],[Цена по ЈМ без ПДВ – а]]</f>
        <v>0</v>
      </c>
      <c r="I7" s="20">
        <f>Table161330[[#This Row],[Стопа ПДВ - а]]*Table161330[[#This Row],[Укупна цена без ПДВ - а]]</f>
        <v>0</v>
      </c>
      <c r="J7" s="19">
        <f>Table161330[[#This Row],[Укупна цена без ПДВ - а]]+Table161330[[#This Row],[Укупно ПДВ]]</f>
        <v>0</v>
      </c>
      <c r="K7" s="33"/>
      <c r="L7" s="34"/>
    </row>
    <row r="8" spans="1:12" ht="19.5" thickBot="1" x14ac:dyDescent="0.3">
      <c r="A8" s="45">
        <v>3</v>
      </c>
      <c r="B8" s="46" t="s">
        <v>96</v>
      </c>
      <c r="C8" s="47" t="s">
        <v>97</v>
      </c>
      <c r="D8" s="29" t="s">
        <v>33</v>
      </c>
      <c r="E8" s="48">
        <v>60</v>
      </c>
      <c r="F8" s="49">
        <v>0</v>
      </c>
      <c r="G8" s="50">
        <v>0</v>
      </c>
      <c r="H8" s="49">
        <f>Table161330[[#This Row],[Количина]]*Table161330[[#This Row],[Цена по ЈМ без ПДВ – а]]</f>
        <v>0</v>
      </c>
      <c r="I8" s="51">
        <f>Table161330[[#This Row],[Стопа ПДВ - а]]*Table161330[[#This Row],[Укупна цена без ПДВ - а]]</f>
        <v>0</v>
      </c>
      <c r="J8" s="49">
        <f>Table161330[[#This Row],[Укупна цена без ПДВ - а]]+Table161330[[#This Row],[Укупно ПДВ]]</f>
        <v>0</v>
      </c>
      <c r="K8" s="52"/>
      <c r="L8" s="53"/>
    </row>
    <row r="9" spans="1:12" ht="15.75" thickBot="1" x14ac:dyDescent="0.3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</row>
    <row r="10" spans="1:12" x14ac:dyDescent="0.25">
      <c r="A10" s="131" t="s">
        <v>14</v>
      </c>
      <c r="B10" s="131"/>
      <c r="C10" s="131"/>
      <c r="D10" s="131"/>
      <c r="E10" s="131"/>
      <c r="F10" s="131"/>
      <c r="G10" s="134" t="s">
        <v>15</v>
      </c>
      <c r="H10" s="134"/>
      <c r="I10" s="134"/>
      <c r="J10" s="134" t="s">
        <v>16</v>
      </c>
      <c r="K10" s="134"/>
      <c r="L10" s="134"/>
    </row>
    <row r="11" spans="1:12" x14ac:dyDescent="0.25">
      <c r="A11" s="132"/>
      <c r="B11" s="132"/>
      <c r="C11" s="132"/>
      <c r="D11" s="132"/>
      <c r="E11" s="132"/>
      <c r="F11" s="132"/>
      <c r="G11" s="135">
        <f>SUM(Table161330[Укупна цена без ПДВ - а])</f>
        <v>0</v>
      </c>
      <c r="H11" s="135"/>
      <c r="I11" s="135"/>
      <c r="J11" s="135">
        <f>SUM(Table161330[Укупна цена са ПДВ - ом])</f>
        <v>0</v>
      </c>
      <c r="K11" s="135"/>
      <c r="L11" s="135"/>
    </row>
    <row r="12" spans="1:12" ht="15.75" thickBot="1" x14ac:dyDescent="0.3">
      <c r="A12" s="133"/>
      <c r="B12" s="133"/>
      <c r="C12" s="133"/>
      <c r="D12" s="133"/>
      <c r="E12" s="133"/>
      <c r="F12" s="133"/>
      <c r="G12" s="136"/>
      <c r="H12" s="136"/>
      <c r="I12" s="136"/>
      <c r="J12" s="136"/>
      <c r="K12" s="136"/>
      <c r="L12" s="136"/>
    </row>
    <row r="13" spans="1:12" ht="15.75" thickBot="1" x14ac:dyDescent="0.3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</row>
    <row r="14" spans="1:12" ht="15.75" thickTop="1" x14ac:dyDescent="0.25">
      <c r="A14" s="141" t="s">
        <v>24</v>
      </c>
      <c r="B14" s="141"/>
      <c r="C14" s="144" t="s">
        <v>69</v>
      </c>
      <c r="D14" s="144"/>
      <c r="E14" s="144"/>
      <c r="F14" s="144"/>
      <c r="G14" s="144"/>
      <c r="H14" s="144"/>
      <c r="I14" s="144"/>
      <c r="J14" s="144"/>
      <c r="K14" s="144"/>
      <c r="L14" s="144"/>
    </row>
    <row r="15" spans="1:12" x14ac:dyDescent="0.25">
      <c r="A15" s="142"/>
      <c r="B15" s="142"/>
      <c r="C15" s="145"/>
      <c r="D15" s="145"/>
      <c r="E15" s="145"/>
      <c r="F15" s="145"/>
      <c r="G15" s="145"/>
      <c r="H15" s="145"/>
      <c r="I15" s="145"/>
      <c r="J15" s="145"/>
      <c r="K15" s="145"/>
      <c r="L15" s="145"/>
    </row>
    <row r="16" spans="1:12" ht="15.75" thickBot="1" x14ac:dyDescent="0.3">
      <c r="A16" s="143"/>
      <c r="B16" s="143"/>
      <c r="C16" s="146"/>
      <c r="D16" s="146"/>
      <c r="E16" s="146"/>
      <c r="F16" s="146"/>
      <c r="G16" s="146"/>
      <c r="H16" s="146"/>
      <c r="I16" s="146"/>
      <c r="J16" s="146"/>
      <c r="K16" s="146"/>
      <c r="L16" s="146"/>
    </row>
    <row r="17" spans="10:11" ht="15.75" thickTop="1" x14ac:dyDescent="0.25"/>
    <row r="18" spans="10:11" x14ac:dyDescent="0.25">
      <c r="J18" s="137" t="s">
        <v>18</v>
      </c>
      <c r="K18" s="137"/>
    </row>
    <row r="19" spans="10:11" x14ac:dyDescent="0.25">
      <c r="J19" s="137"/>
      <c r="K19" s="137"/>
    </row>
    <row r="20" spans="10:11" x14ac:dyDescent="0.25">
      <c r="J20" s="138"/>
      <c r="K20" s="138"/>
    </row>
    <row r="21" spans="10:11" ht="15.75" thickBot="1" x14ac:dyDescent="0.3">
      <c r="J21" s="109"/>
      <c r="K21" s="109"/>
    </row>
    <row r="22" spans="10:11" x14ac:dyDescent="0.25">
      <c r="J22" s="139" t="s">
        <v>17</v>
      </c>
      <c r="K22" s="139"/>
    </row>
    <row r="23" spans="10:11" x14ac:dyDescent="0.25">
      <c r="J23" s="140"/>
      <c r="K23" s="140"/>
    </row>
  </sheetData>
  <mergeCells count="16">
    <mergeCell ref="J22:K23"/>
    <mergeCell ref="A1:L1"/>
    <mergeCell ref="A2:F3"/>
    <mergeCell ref="G2:L3"/>
    <mergeCell ref="A4:L4"/>
    <mergeCell ref="A9:L9"/>
    <mergeCell ref="A10:F12"/>
    <mergeCell ref="G10:I10"/>
    <mergeCell ref="J10:L10"/>
    <mergeCell ref="G11:I12"/>
    <mergeCell ref="J11:L12"/>
    <mergeCell ref="A13:L13"/>
    <mergeCell ref="A14:B16"/>
    <mergeCell ref="C14:L16"/>
    <mergeCell ref="J18:K19"/>
    <mergeCell ref="J20:K21"/>
  </mergeCells>
  <pageMargins left="0.7" right="0.7" top="0.75" bottom="0.75" header="0.3" footer="0.3"/>
  <pageSetup scale="58" orientation="landscape" r:id="rId1"/>
  <colBreaks count="1" manualBreakCount="1">
    <brk id="12" max="1048575" man="1"/>
  </colBreaks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4" zoomScaleNormal="100" workbookViewId="0">
      <selection activeCell="K26" sqref="K26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x14ac:dyDescent="0.25">
      <c r="A2" s="127" t="s">
        <v>13</v>
      </c>
      <c r="B2" s="127"/>
      <c r="C2" s="127"/>
      <c r="D2" s="127"/>
      <c r="E2" s="127"/>
      <c r="F2" s="127"/>
      <c r="G2" s="129" t="s">
        <v>98</v>
      </c>
      <c r="H2" s="129"/>
      <c r="I2" s="129"/>
      <c r="J2" s="129"/>
      <c r="K2" s="129"/>
      <c r="L2" s="129"/>
    </row>
    <row r="3" spans="1:12" ht="15.75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75" x14ac:dyDescent="0.25">
      <c r="A6" s="5">
        <v>1</v>
      </c>
      <c r="B6" s="37" t="s">
        <v>99</v>
      </c>
      <c r="C6" s="40" t="s">
        <v>100</v>
      </c>
      <c r="D6" s="16" t="s">
        <v>33</v>
      </c>
      <c r="E6" s="11">
        <v>600</v>
      </c>
      <c r="F6" s="17">
        <v>0</v>
      </c>
      <c r="G6" s="25">
        <v>0</v>
      </c>
      <c r="H6" s="17">
        <f>Table161335[[#This Row],[Количина]]*Table161335[[#This Row],[Цена по ЈМ без ПДВ – а]]</f>
        <v>0</v>
      </c>
      <c r="I6" s="18">
        <f>Table161335[[#This Row],[Стопа ПДВ - а]]*Table161335[[#This Row],[Укупна цена без ПДВ - а]]</f>
        <v>0</v>
      </c>
      <c r="J6" s="17">
        <f>Table161335[[#This Row],[Укупна цена без ПДВ - а]]+Table161335[[#This Row],[Укупно ПДВ]]</f>
        <v>0</v>
      </c>
      <c r="K6" s="31"/>
      <c r="L6" s="32"/>
    </row>
    <row r="7" spans="1:12" ht="60" x14ac:dyDescent="0.25">
      <c r="A7" s="6">
        <v>2</v>
      </c>
      <c r="B7" s="38" t="s">
        <v>101</v>
      </c>
      <c r="C7" s="41" t="s">
        <v>102</v>
      </c>
      <c r="D7" s="16" t="s">
        <v>33</v>
      </c>
      <c r="E7" s="12">
        <v>500</v>
      </c>
      <c r="F7" s="19">
        <v>0</v>
      </c>
      <c r="G7" s="26">
        <v>0</v>
      </c>
      <c r="H7" s="19">
        <f>Table161335[[#This Row],[Количина]]*Table161335[[#This Row],[Цена по ЈМ без ПДВ – а]]</f>
        <v>0</v>
      </c>
      <c r="I7" s="20">
        <f>Table161335[[#This Row],[Стопа ПДВ - а]]*Table161335[[#This Row],[Укупна цена без ПДВ - а]]</f>
        <v>0</v>
      </c>
      <c r="J7" s="19">
        <f>Table161335[[#This Row],[Укупна цена без ПДВ - а]]+Table161335[[#This Row],[Укупно ПДВ]]</f>
        <v>0</v>
      </c>
      <c r="K7" s="33"/>
      <c r="L7" s="34"/>
    </row>
    <row r="8" spans="1:12" ht="75" x14ac:dyDescent="0.25">
      <c r="A8" s="6">
        <v>3</v>
      </c>
      <c r="B8" s="38" t="s">
        <v>103</v>
      </c>
      <c r="C8" s="40" t="s">
        <v>104</v>
      </c>
      <c r="D8" s="16" t="s">
        <v>33</v>
      </c>
      <c r="E8" s="12">
        <v>100</v>
      </c>
      <c r="F8" s="19">
        <v>0</v>
      </c>
      <c r="G8" s="26">
        <v>0</v>
      </c>
      <c r="H8" s="19">
        <f>Table161335[[#This Row],[Количина]]*Table161335[[#This Row],[Цена по ЈМ без ПДВ – а]]</f>
        <v>0</v>
      </c>
      <c r="I8" s="20">
        <f>Table161335[[#This Row],[Стопа ПДВ - а]]*Table161335[[#This Row],[Укупна цена без ПДВ - а]]</f>
        <v>0</v>
      </c>
      <c r="J8" s="19">
        <f>Table161335[[#This Row],[Укупна цена без ПДВ - а]]+Table161335[[#This Row],[Укупно ПДВ]]</f>
        <v>0</v>
      </c>
      <c r="K8" s="33"/>
      <c r="L8" s="34"/>
    </row>
    <row r="9" spans="1:12" ht="60.75" thickBot="1" x14ac:dyDescent="0.3">
      <c r="A9" s="45">
        <v>4</v>
      </c>
      <c r="B9" s="46" t="s">
        <v>105</v>
      </c>
      <c r="C9" s="47" t="s">
        <v>106</v>
      </c>
      <c r="D9" s="29" t="s">
        <v>4</v>
      </c>
      <c r="E9" s="48">
        <v>6000</v>
      </c>
      <c r="F9" s="49">
        <v>0</v>
      </c>
      <c r="G9" s="50">
        <v>0</v>
      </c>
      <c r="H9" s="49">
        <f>Table161335[[#This Row],[Количина]]*Table161335[[#This Row],[Цена по ЈМ без ПДВ – а]]</f>
        <v>0</v>
      </c>
      <c r="I9" s="51">
        <f>Table161335[[#This Row],[Стопа ПДВ - а]]*Table161335[[#This Row],[Укупна цена без ПДВ - а]]</f>
        <v>0</v>
      </c>
      <c r="J9" s="49">
        <f>Table161335[[#This Row],[Укупна цена без ПДВ - а]]+Table161335[[#This Row],[Укупно ПДВ]]</f>
        <v>0</v>
      </c>
      <c r="K9" s="52"/>
      <c r="L9" s="53"/>
    </row>
    <row r="10" spans="1:12" ht="15.75" thickBot="1" x14ac:dyDescent="0.3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</row>
    <row r="11" spans="1:12" x14ac:dyDescent="0.25">
      <c r="A11" s="131" t="s">
        <v>14</v>
      </c>
      <c r="B11" s="131"/>
      <c r="C11" s="131"/>
      <c r="D11" s="131"/>
      <c r="E11" s="131"/>
      <c r="F11" s="131"/>
      <c r="G11" s="134" t="s">
        <v>15</v>
      </c>
      <c r="H11" s="134"/>
      <c r="I11" s="134"/>
      <c r="J11" s="134" t="s">
        <v>16</v>
      </c>
      <c r="K11" s="134"/>
      <c r="L11" s="134"/>
    </row>
    <row r="12" spans="1:12" x14ac:dyDescent="0.25">
      <c r="A12" s="132"/>
      <c r="B12" s="132"/>
      <c r="C12" s="132"/>
      <c r="D12" s="132"/>
      <c r="E12" s="132"/>
      <c r="F12" s="132"/>
      <c r="G12" s="135">
        <f>SUM(Table161335[Укупна цена без ПДВ - а])</f>
        <v>0</v>
      </c>
      <c r="H12" s="135"/>
      <c r="I12" s="135"/>
      <c r="J12" s="135">
        <f>SUM(Table161335[Укупна цена са ПДВ - ом])</f>
        <v>0</v>
      </c>
      <c r="K12" s="135"/>
      <c r="L12" s="135"/>
    </row>
    <row r="13" spans="1:12" ht="15.75" thickBot="1" x14ac:dyDescent="0.3">
      <c r="A13" s="133"/>
      <c r="B13" s="133"/>
      <c r="C13" s="133"/>
      <c r="D13" s="133"/>
      <c r="E13" s="133"/>
      <c r="F13" s="133"/>
      <c r="G13" s="136"/>
      <c r="H13" s="136"/>
      <c r="I13" s="136"/>
      <c r="J13" s="136"/>
      <c r="K13" s="136"/>
      <c r="L13" s="136"/>
    </row>
    <row r="14" spans="1:12" ht="15.75" thickBot="1" x14ac:dyDescent="0.3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</row>
    <row r="15" spans="1:12" ht="15.75" thickTop="1" x14ac:dyDescent="0.25">
      <c r="A15" s="141" t="s">
        <v>24</v>
      </c>
      <c r="B15" s="141"/>
      <c r="C15" s="144" t="s">
        <v>69</v>
      </c>
      <c r="D15" s="144"/>
      <c r="E15" s="144"/>
      <c r="F15" s="144"/>
      <c r="G15" s="144"/>
      <c r="H15" s="144"/>
      <c r="I15" s="144"/>
      <c r="J15" s="144"/>
      <c r="K15" s="144"/>
      <c r="L15" s="144"/>
    </row>
    <row r="16" spans="1:12" x14ac:dyDescent="0.25">
      <c r="A16" s="142"/>
      <c r="B16" s="142"/>
      <c r="C16" s="145"/>
      <c r="D16" s="145"/>
      <c r="E16" s="145"/>
      <c r="F16" s="145"/>
      <c r="G16" s="145"/>
      <c r="H16" s="145"/>
      <c r="I16" s="145"/>
      <c r="J16" s="145"/>
      <c r="K16" s="145"/>
      <c r="L16" s="145"/>
    </row>
    <row r="17" spans="1:12" ht="15.75" thickBot="1" x14ac:dyDescent="0.3">
      <c r="A17" s="143"/>
      <c r="B17" s="143"/>
      <c r="C17" s="146"/>
      <c r="D17" s="146"/>
      <c r="E17" s="146"/>
      <c r="F17" s="146"/>
      <c r="G17" s="146"/>
      <c r="H17" s="146"/>
      <c r="I17" s="146"/>
      <c r="J17" s="146"/>
      <c r="K17" s="146"/>
      <c r="L17" s="146"/>
    </row>
    <row r="18" spans="1:12" ht="15.75" thickTop="1" x14ac:dyDescent="0.25"/>
    <row r="19" spans="1:12" x14ac:dyDescent="0.25">
      <c r="J19" s="137" t="s">
        <v>18</v>
      </c>
      <c r="K19" s="137"/>
    </row>
    <row r="20" spans="1:12" x14ac:dyDescent="0.25">
      <c r="J20" s="137"/>
      <c r="K20" s="137"/>
    </row>
    <row r="21" spans="1:12" x14ac:dyDescent="0.25">
      <c r="J21" s="138"/>
      <c r="K21" s="138"/>
    </row>
    <row r="22" spans="1:12" ht="15.75" thickBot="1" x14ac:dyDescent="0.3">
      <c r="J22" s="109"/>
      <c r="K22" s="109"/>
    </row>
    <row r="23" spans="1:12" x14ac:dyDescent="0.25">
      <c r="J23" s="139" t="s">
        <v>17</v>
      </c>
      <c r="K23" s="139"/>
    </row>
    <row r="24" spans="1:12" x14ac:dyDescent="0.25">
      <c r="J24" s="140"/>
      <c r="K24" s="140"/>
    </row>
  </sheetData>
  <mergeCells count="16">
    <mergeCell ref="J23:K24"/>
    <mergeCell ref="A1:L1"/>
    <mergeCell ref="A2:F3"/>
    <mergeCell ref="G2:L3"/>
    <mergeCell ref="A4:L4"/>
    <mergeCell ref="A10:L10"/>
    <mergeCell ref="A11:F13"/>
    <mergeCell ref="G11:I11"/>
    <mergeCell ref="J11:L11"/>
    <mergeCell ref="G12:I13"/>
    <mergeCell ref="J12:L13"/>
    <mergeCell ref="A14:L14"/>
    <mergeCell ref="A15:B17"/>
    <mergeCell ref="C15:L17"/>
    <mergeCell ref="J19:K20"/>
    <mergeCell ref="J21:K22"/>
  </mergeCells>
  <pageMargins left="0.7" right="0.7" top="0.75" bottom="0.75" header="0.3" footer="0.3"/>
  <pageSetup scale="58" orientation="landscape" r:id="rId1"/>
  <colBreaks count="1" manualBreakCount="1">
    <brk id="12" max="1048575" man="1"/>
  </colBreaks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K27" sqref="K27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x14ac:dyDescent="0.25">
      <c r="A2" s="127" t="s">
        <v>13</v>
      </c>
      <c r="B2" s="127"/>
      <c r="C2" s="127"/>
      <c r="D2" s="127"/>
      <c r="E2" s="127"/>
      <c r="F2" s="127"/>
      <c r="G2" s="129" t="s">
        <v>107</v>
      </c>
      <c r="H2" s="129"/>
      <c r="I2" s="129"/>
      <c r="J2" s="129"/>
      <c r="K2" s="129"/>
      <c r="L2" s="129"/>
    </row>
    <row r="3" spans="1:12" ht="15.75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30" x14ac:dyDescent="0.25">
      <c r="A6" s="5">
        <v>1</v>
      </c>
      <c r="B6" s="37" t="s">
        <v>108</v>
      </c>
      <c r="C6" s="40" t="s">
        <v>109</v>
      </c>
      <c r="D6" s="16" t="s">
        <v>33</v>
      </c>
      <c r="E6" s="11">
        <v>200</v>
      </c>
      <c r="F6" s="17">
        <v>0</v>
      </c>
      <c r="G6" s="25">
        <v>0</v>
      </c>
      <c r="H6" s="17">
        <f>Table161333[[#This Row],[Количина]]*Table161333[[#This Row],[Цена по ЈМ без ПДВ – а]]</f>
        <v>0</v>
      </c>
      <c r="I6" s="18">
        <f>Table161333[[#This Row],[Стопа ПДВ - а]]*Table161333[[#This Row],[Укупна цена без ПДВ - а]]</f>
        <v>0</v>
      </c>
      <c r="J6" s="17">
        <f>Table161333[[#This Row],[Укупна цена без ПДВ - а]]+Table161333[[#This Row],[Укупно ПДВ]]</f>
        <v>0</v>
      </c>
      <c r="K6" s="31"/>
      <c r="L6" s="32"/>
    </row>
    <row r="7" spans="1:12" ht="30.75" thickBot="1" x14ac:dyDescent="0.3">
      <c r="A7" s="45">
        <v>2</v>
      </c>
      <c r="B7" s="46" t="s">
        <v>108</v>
      </c>
      <c r="C7" s="47" t="s">
        <v>110</v>
      </c>
      <c r="D7" s="29" t="s">
        <v>4</v>
      </c>
      <c r="E7" s="48">
        <v>15000</v>
      </c>
      <c r="F7" s="49">
        <v>0</v>
      </c>
      <c r="G7" s="50">
        <v>0</v>
      </c>
      <c r="H7" s="49">
        <f>Table161333[[#This Row],[Количина]]*Table161333[[#This Row],[Цена по ЈМ без ПДВ – а]]</f>
        <v>0</v>
      </c>
      <c r="I7" s="51">
        <f>Table161333[[#This Row],[Стопа ПДВ - а]]*Table161333[[#This Row],[Укупна цена без ПДВ - а]]</f>
        <v>0</v>
      </c>
      <c r="J7" s="49">
        <f>Table161333[[#This Row],[Укупна цена без ПДВ - а]]+Table161333[[#This Row],[Укупно ПДВ]]</f>
        <v>0</v>
      </c>
      <c r="K7" s="52"/>
      <c r="L7" s="53"/>
    </row>
    <row r="8" spans="1:12" ht="15.75" thickBot="1" x14ac:dyDescent="0.3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spans="1:12" x14ac:dyDescent="0.25">
      <c r="A9" s="131" t="s">
        <v>14</v>
      </c>
      <c r="B9" s="131"/>
      <c r="C9" s="131"/>
      <c r="D9" s="131"/>
      <c r="E9" s="131"/>
      <c r="F9" s="131"/>
      <c r="G9" s="134" t="s">
        <v>15</v>
      </c>
      <c r="H9" s="134"/>
      <c r="I9" s="134"/>
      <c r="J9" s="134" t="s">
        <v>16</v>
      </c>
      <c r="K9" s="134"/>
      <c r="L9" s="134"/>
    </row>
    <row r="10" spans="1:12" x14ac:dyDescent="0.25">
      <c r="A10" s="132"/>
      <c r="B10" s="132"/>
      <c r="C10" s="132"/>
      <c r="D10" s="132"/>
      <c r="E10" s="132"/>
      <c r="F10" s="132"/>
      <c r="G10" s="135">
        <f>SUM(Table161333[Укупна цена без ПДВ - а])</f>
        <v>0</v>
      </c>
      <c r="H10" s="135"/>
      <c r="I10" s="135"/>
      <c r="J10" s="135">
        <f>SUM(Table161333[Укупна цена са ПДВ - ом])</f>
        <v>0</v>
      </c>
      <c r="K10" s="135"/>
      <c r="L10" s="135"/>
    </row>
    <row r="11" spans="1:12" ht="15.75" thickBot="1" x14ac:dyDescent="0.3">
      <c r="A11" s="133"/>
      <c r="B11" s="133"/>
      <c r="C11" s="133"/>
      <c r="D11" s="133"/>
      <c r="E11" s="133"/>
      <c r="F11" s="133"/>
      <c r="G11" s="136"/>
      <c r="H11" s="136"/>
      <c r="I11" s="136"/>
      <c r="J11" s="136"/>
      <c r="K11" s="136"/>
      <c r="L11" s="136"/>
    </row>
    <row r="12" spans="1:12" ht="15.75" thickBot="1" x14ac:dyDescent="0.3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</row>
    <row r="13" spans="1:12" ht="15.75" thickTop="1" x14ac:dyDescent="0.25">
      <c r="A13" s="141" t="s">
        <v>24</v>
      </c>
      <c r="B13" s="141"/>
      <c r="C13" s="144" t="s">
        <v>69</v>
      </c>
      <c r="D13" s="144"/>
      <c r="E13" s="144"/>
      <c r="F13" s="144"/>
      <c r="G13" s="144"/>
      <c r="H13" s="144"/>
      <c r="I13" s="144"/>
      <c r="J13" s="144"/>
      <c r="K13" s="144"/>
      <c r="L13" s="144"/>
    </row>
    <row r="14" spans="1:12" x14ac:dyDescent="0.25">
      <c r="A14" s="142"/>
      <c r="B14" s="142"/>
      <c r="C14" s="145"/>
      <c r="D14" s="145"/>
      <c r="E14" s="145"/>
      <c r="F14" s="145"/>
      <c r="G14" s="145"/>
      <c r="H14" s="145"/>
      <c r="I14" s="145"/>
      <c r="J14" s="145"/>
      <c r="K14" s="145"/>
      <c r="L14" s="145"/>
    </row>
    <row r="15" spans="1:12" ht="15.75" thickBot="1" x14ac:dyDescent="0.3">
      <c r="A15" s="143"/>
      <c r="B15" s="143"/>
      <c r="C15" s="146"/>
      <c r="D15" s="146"/>
      <c r="E15" s="146"/>
      <c r="F15" s="146"/>
      <c r="G15" s="146"/>
      <c r="H15" s="146"/>
      <c r="I15" s="146"/>
      <c r="J15" s="146"/>
      <c r="K15" s="146"/>
      <c r="L15" s="146"/>
    </row>
    <row r="16" spans="1:12" ht="15.75" thickTop="1" x14ac:dyDescent="0.25"/>
    <row r="17" spans="10:11" x14ac:dyDescent="0.25">
      <c r="J17" s="137" t="s">
        <v>18</v>
      </c>
      <c r="K17" s="137"/>
    </row>
    <row r="18" spans="10:11" x14ac:dyDescent="0.25">
      <c r="J18" s="137"/>
      <c r="K18" s="137"/>
    </row>
    <row r="19" spans="10:11" x14ac:dyDescent="0.25">
      <c r="J19" s="138"/>
      <c r="K19" s="138"/>
    </row>
    <row r="20" spans="10:11" ht="15.75" thickBot="1" x14ac:dyDescent="0.3">
      <c r="J20" s="109"/>
      <c r="K20" s="109"/>
    </row>
    <row r="21" spans="10:11" x14ac:dyDescent="0.25">
      <c r="J21" s="139" t="s">
        <v>17</v>
      </c>
      <c r="K21" s="139"/>
    </row>
    <row r="22" spans="10:11" x14ac:dyDescent="0.25">
      <c r="J22" s="140"/>
      <c r="K22" s="140"/>
    </row>
  </sheetData>
  <mergeCells count="16">
    <mergeCell ref="J21:K22"/>
    <mergeCell ref="A1:L1"/>
    <mergeCell ref="A2:F3"/>
    <mergeCell ref="G2:L3"/>
    <mergeCell ref="A4:L4"/>
    <mergeCell ref="A8:L8"/>
    <mergeCell ref="A9:F11"/>
    <mergeCell ref="G9:I9"/>
    <mergeCell ref="J9:L9"/>
    <mergeCell ref="G10:I11"/>
    <mergeCell ref="J10:L11"/>
    <mergeCell ref="A12:L12"/>
    <mergeCell ref="A13:B15"/>
    <mergeCell ref="C13:L15"/>
    <mergeCell ref="J17:K18"/>
    <mergeCell ref="J19:K20"/>
  </mergeCells>
  <pageMargins left="0.7" right="0.7" top="0.75" bottom="0.75" header="0.3" footer="0.3"/>
  <pageSetup scale="58" orientation="landscape" r:id="rId1"/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>
      <selection activeCell="K25" sqref="K25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x14ac:dyDescent="0.25">
      <c r="A2" s="127" t="s">
        <v>13</v>
      </c>
      <c r="B2" s="127"/>
      <c r="C2" s="127"/>
      <c r="D2" s="127"/>
      <c r="E2" s="127"/>
      <c r="F2" s="127"/>
      <c r="G2" s="129" t="s">
        <v>111</v>
      </c>
      <c r="H2" s="129"/>
      <c r="I2" s="129"/>
      <c r="J2" s="129"/>
      <c r="K2" s="129"/>
      <c r="L2" s="129"/>
    </row>
    <row r="3" spans="1:12" ht="15.75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19.5" thickBot="1" x14ac:dyDescent="0.3">
      <c r="A6" s="54">
        <v>1</v>
      </c>
      <c r="B6" s="55" t="s">
        <v>112</v>
      </c>
      <c r="C6" s="56" t="s">
        <v>113</v>
      </c>
      <c r="D6" s="57" t="s">
        <v>33</v>
      </c>
      <c r="E6" s="58">
        <v>50</v>
      </c>
      <c r="F6" s="59">
        <v>0</v>
      </c>
      <c r="G6" s="60">
        <v>0</v>
      </c>
      <c r="H6" s="59">
        <f>Table161336[[#This Row],[Количина]]*Table161336[[#This Row],[Цена по ЈМ без ПДВ – а]]</f>
        <v>0</v>
      </c>
      <c r="I6" s="61">
        <f>Table161336[[#This Row],[Стопа ПДВ - а]]*Table161336[[#This Row],[Укупна цена без ПДВ - а]]</f>
        <v>0</v>
      </c>
      <c r="J6" s="59">
        <f>Table161336[[#This Row],[Укупна цена без ПДВ - а]]+Table161336[[#This Row],[Укупно ПДВ]]</f>
        <v>0</v>
      </c>
      <c r="K6" s="62"/>
      <c r="L6" s="63"/>
    </row>
    <row r="7" spans="1:12" ht="15.75" thickBot="1" x14ac:dyDescent="0.3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spans="1:12" x14ac:dyDescent="0.25">
      <c r="A8" s="131" t="s">
        <v>14</v>
      </c>
      <c r="B8" s="131"/>
      <c r="C8" s="131"/>
      <c r="D8" s="131"/>
      <c r="E8" s="131"/>
      <c r="F8" s="131"/>
      <c r="G8" s="134" t="s">
        <v>15</v>
      </c>
      <c r="H8" s="134"/>
      <c r="I8" s="134"/>
      <c r="J8" s="134" t="s">
        <v>16</v>
      </c>
      <c r="K8" s="134"/>
      <c r="L8" s="134"/>
    </row>
    <row r="9" spans="1:12" x14ac:dyDescent="0.25">
      <c r="A9" s="132"/>
      <c r="B9" s="132"/>
      <c r="C9" s="132"/>
      <c r="D9" s="132"/>
      <c r="E9" s="132"/>
      <c r="F9" s="132"/>
      <c r="G9" s="135">
        <f>SUM(Table161336[Укупна цена без ПДВ - а])</f>
        <v>0</v>
      </c>
      <c r="H9" s="135"/>
      <c r="I9" s="135"/>
      <c r="J9" s="135">
        <f>SUM(Table161336[Укупна цена са ПДВ - ом])</f>
        <v>0</v>
      </c>
      <c r="K9" s="135"/>
      <c r="L9" s="135"/>
    </row>
    <row r="10" spans="1:12" ht="15.75" thickBot="1" x14ac:dyDescent="0.3">
      <c r="A10" s="133"/>
      <c r="B10" s="133"/>
      <c r="C10" s="133"/>
      <c r="D10" s="133"/>
      <c r="E10" s="133"/>
      <c r="F10" s="133"/>
      <c r="G10" s="136"/>
      <c r="H10" s="136"/>
      <c r="I10" s="136"/>
      <c r="J10" s="136"/>
      <c r="K10" s="136"/>
      <c r="L10" s="136"/>
    </row>
    <row r="11" spans="1:12" ht="15.75" thickBot="1" x14ac:dyDescent="0.3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</row>
    <row r="12" spans="1:12" ht="15.75" thickTop="1" x14ac:dyDescent="0.25">
      <c r="A12" s="141" t="s">
        <v>24</v>
      </c>
      <c r="B12" s="141"/>
      <c r="C12" s="144" t="s">
        <v>69</v>
      </c>
      <c r="D12" s="144"/>
      <c r="E12" s="144"/>
      <c r="F12" s="144"/>
      <c r="G12" s="144"/>
      <c r="H12" s="144"/>
      <c r="I12" s="144"/>
      <c r="J12" s="144"/>
      <c r="K12" s="144"/>
      <c r="L12" s="144"/>
    </row>
    <row r="13" spans="1:12" x14ac:dyDescent="0.25">
      <c r="A13" s="142"/>
      <c r="B13" s="142"/>
      <c r="C13" s="145"/>
      <c r="D13" s="145"/>
      <c r="E13" s="145"/>
      <c r="F13" s="145"/>
      <c r="G13" s="145"/>
      <c r="H13" s="145"/>
      <c r="I13" s="145"/>
      <c r="J13" s="145"/>
      <c r="K13" s="145"/>
      <c r="L13" s="145"/>
    </row>
    <row r="14" spans="1:12" ht="15.75" thickBot="1" x14ac:dyDescent="0.3">
      <c r="A14" s="143"/>
      <c r="B14" s="143"/>
      <c r="C14" s="146"/>
      <c r="D14" s="146"/>
      <c r="E14" s="146"/>
      <c r="F14" s="146"/>
      <c r="G14" s="146"/>
      <c r="H14" s="146"/>
      <c r="I14" s="146"/>
      <c r="J14" s="146"/>
      <c r="K14" s="146"/>
      <c r="L14" s="146"/>
    </row>
    <row r="15" spans="1:12" ht="15.75" thickTop="1" x14ac:dyDescent="0.25"/>
    <row r="16" spans="1:12" x14ac:dyDescent="0.25">
      <c r="J16" s="137" t="s">
        <v>18</v>
      </c>
      <c r="K16" s="137"/>
    </row>
    <row r="17" spans="10:11" x14ac:dyDescent="0.25">
      <c r="J17" s="137"/>
      <c r="K17" s="137"/>
    </row>
    <row r="18" spans="10:11" x14ac:dyDescent="0.25">
      <c r="J18" s="138"/>
      <c r="K18" s="138"/>
    </row>
    <row r="19" spans="10:11" ht="15.75" thickBot="1" x14ac:dyDescent="0.3">
      <c r="J19" s="109"/>
      <c r="K19" s="109"/>
    </row>
    <row r="20" spans="10:11" x14ac:dyDescent="0.25">
      <c r="J20" s="139" t="s">
        <v>17</v>
      </c>
      <c r="K20" s="139"/>
    </row>
    <row r="21" spans="10:11" x14ac:dyDescent="0.25">
      <c r="J21" s="140"/>
      <c r="K21" s="140"/>
    </row>
  </sheetData>
  <mergeCells count="16">
    <mergeCell ref="J20:K21"/>
    <mergeCell ref="A1:L1"/>
    <mergeCell ref="A2:F3"/>
    <mergeCell ref="G2:L3"/>
    <mergeCell ref="A4:L4"/>
    <mergeCell ref="A7:L7"/>
    <mergeCell ref="A8:F10"/>
    <mergeCell ref="G8:I8"/>
    <mergeCell ref="J8:L8"/>
    <mergeCell ref="G9:I10"/>
    <mergeCell ref="J9:L10"/>
    <mergeCell ref="A11:L11"/>
    <mergeCell ref="A12:B14"/>
    <mergeCell ref="C12:L14"/>
    <mergeCell ref="J16:K17"/>
    <mergeCell ref="J18:K19"/>
  </mergeCells>
  <pageMargins left="0.7" right="0.7" top="0.75" bottom="0.75" header="0.3" footer="0.3"/>
  <pageSetup scale="58" orientation="landscape" r:id="rId1"/>
  <colBreaks count="1" manualBreakCount="1">
    <brk id="12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5"/>
  <sheetViews>
    <sheetView topLeftCell="A16" zoomScaleNormal="100" workbookViewId="0"/>
  </sheetViews>
  <sheetFormatPr defaultRowHeight="15" x14ac:dyDescent="0.25"/>
  <cols>
    <col min="1" max="2" width="9.140625" style="30"/>
    <col min="3" max="3" width="4.140625" style="30" customWidth="1"/>
    <col min="4" max="16384" width="9.140625" style="30"/>
  </cols>
  <sheetData>
    <row r="2" spans="2:17" x14ac:dyDescent="0.25">
      <c r="B2" s="107"/>
      <c r="C2" s="107"/>
    </row>
    <row r="3" spans="2:17" ht="21" customHeight="1" x14ac:dyDescent="0.25">
      <c r="B3" s="107"/>
      <c r="C3" s="107"/>
      <c r="D3" s="90" t="s">
        <v>292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2:17" ht="18.75" customHeight="1" x14ac:dyDescent="0.25">
      <c r="B4" s="107"/>
      <c r="C4" s="107"/>
      <c r="D4" s="91" t="s">
        <v>293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2:17" ht="15.75" customHeight="1" x14ac:dyDescent="0.25">
      <c r="B5" s="107"/>
      <c r="C5" s="107"/>
      <c r="D5" s="93" t="s">
        <v>294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2:17" ht="18.75" x14ac:dyDescent="0.25">
      <c r="D6" s="95" t="s">
        <v>295</v>
      </c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9" spans="2:17" x14ac:dyDescent="0.25">
      <c r="B9" s="122" t="s">
        <v>297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</row>
    <row r="10" spans="2:17" x14ac:dyDescent="0.25"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</row>
    <row r="12" spans="2:17" x14ac:dyDescent="0.25">
      <c r="B12" s="116" t="s">
        <v>298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</row>
    <row r="13" spans="2:17" x14ac:dyDescent="0.25"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</row>
    <row r="14" spans="2:17" ht="18.75" x14ac:dyDescent="0.25">
      <c r="B14" s="103" t="s">
        <v>309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</row>
    <row r="15" spans="2:17" ht="15.75" thickBot="1" x14ac:dyDescent="0.3"/>
    <row r="16" spans="2:17" ht="35.1" customHeight="1" thickTop="1" thickBot="1" x14ac:dyDescent="0.3">
      <c r="B16" s="117" t="s">
        <v>299</v>
      </c>
      <c r="C16" s="118"/>
      <c r="D16" s="118"/>
      <c r="E16" s="118"/>
      <c r="F16" s="118"/>
      <c r="G16" s="119"/>
      <c r="H16" s="120"/>
      <c r="I16" s="120"/>
      <c r="J16" s="120"/>
      <c r="K16" s="120"/>
      <c r="L16" s="120"/>
      <c r="M16" s="120"/>
      <c r="N16" s="120"/>
      <c r="O16" s="120"/>
      <c r="P16" s="121"/>
    </row>
    <row r="17" spans="2:16" ht="35.1" customHeight="1" thickBot="1" x14ac:dyDescent="0.3">
      <c r="B17" s="110" t="s">
        <v>300</v>
      </c>
      <c r="C17" s="111"/>
      <c r="D17" s="111"/>
      <c r="E17" s="111"/>
      <c r="F17" s="111"/>
      <c r="G17" s="112"/>
      <c r="H17" s="113"/>
      <c r="I17" s="113"/>
      <c r="J17" s="113"/>
      <c r="K17" s="113"/>
      <c r="L17" s="113"/>
      <c r="M17" s="113"/>
      <c r="N17" s="113"/>
      <c r="O17" s="113"/>
      <c r="P17" s="114"/>
    </row>
    <row r="18" spans="2:16" ht="35.1" customHeight="1" thickBot="1" x14ac:dyDescent="0.3">
      <c r="B18" s="110" t="s">
        <v>301</v>
      </c>
      <c r="C18" s="111"/>
      <c r="D18" s="111"/>
      <c r="E18" s="111"/>
      <c r="F18" s="111"/>
      <c r="G18" s="112"/>
      <c r="H18" s="113"/>
      <c r="I18" s="113"/>
      <c r="J18" s="113"/>
      <c r="K18" s="113"/>
      <c r="L18" s="113"/>
      <c r="M18" s="113"/>
      <c r="N18" s="113"/>
      <c r="O18" s="113"/>
      <c r="P18" s="114"/>
    </row>
    <row r="19" spans="2:16" ht="39.950000000000003" customHeight="1" thickBot="1" x14ac:dyDescent="0.3">
      <c r="B19" s="110" t="s">
        <v>302</v>
      </c>
      <c r="C19" s="111"/>
      <c r="D19" s="111"/>
      <c r="E19" s="111"/>
      <c r="F19" s="111"/>
      <c r="G19" s="112"/>
      <c r="H19" s="113"/>
      <c r="I19" s="113"/>
      <c r="J19" s="113"/>
      <c r="K19" s="113"/>
      <c r="L19" s="113"/>
      <c r="M19" s="113"/>
      <c r="N19" s="113"/>
      <c r="O19" s="113"/>
      <c r="P19" s="114"/>
    </row>
    <row r="20" spans="2:16" ht="35.1" customHeight="1" thickBot="1" x14ac:dyDescent="0.3">
      <c r="B20" s="110" t="s">
        <v>303</v>
      </c>
      <c r="C20" s="111"/>
      <c r="D20" s="111"/>
      <c r="E20" s="111"/>
      <c r="F20" s="111"/>
      <c r="G20" s="112"/>
      <c r="H20" s="113"/>
      <c r="I20" s="113"/>
      <c r="J20" s="113"/>
      <c r="K20" s="113"/>
      <c r="L20" s="113"/>
      <c r="M20" s="113"/>
      <c r="N20" s="113"/>
      <c r="O20" s="113"/>
      <c r="P20" s="114"/>
    </row>
    <row r="21" spans="2:16" ht="35.1" customHeight="1" thickBot="1" x14ac:dyDescent="0.3">
      <c r="B21" s="110" t="s">
        <v>304</v>
      </c>
      <c r="C21" s="111"/>
      <c r="D21" s="111"/>
      <c r="E21" s="111"/>
      <c r="F21" s="111"/>
      <c r="G21" s="112"/>
      <c r="H21" s="113"/>
      <c r="I21" s="113"/>
      <c r="J21" s="113"/>
      <c r="K21" s="113"/>
      <c r="L21" s="113"/>
      <c r="M21" s="113"/>
      <c r="N21" s="113"/>
      <c r="O21" s="113"/>
      <c r="P21" s="114"/>
    </row>
    <row r="22" spans="2:16" ht="35.1" customHeight="1" thickBot="1" x14ac:dyDescent="0.3">
      <c r="B22" s="110" t="s">
        <v>305</v>
      </c>
      <c r="C22" s="111"/>
      <c r="D22" s="111"/>
      <c r="E22" s="111"/>
      <c r="F22" s="111"/>
      <c r="G22" s="112"/>
      <c r="H22" s="113"/>
      <c r="I22" s="113"/>
      <c r="J22" s="113"/>
      <c r="K22" s="113"/>
      <c r="L22" s="113"/>
      <c r="M22" s="113"/>
      <c r="N22" s="113"/>
      <c r="O22" s="113"/>
      <c r="P22" s="114"/>
    </row>
    <row r="23" spans="2:16" ht="35.1" customHeight="1" thickBot="1" x14ac:dyDescent="0.3">
      <c r="B23" s="110" t="s">
        <v>306</v>
      </c>
      <c r="C23" s="111"/>
      <c r="D23" s="111"/>
      <c r="E23" s="111"/>
      <c r="F23" s="111"/>
      <c r="G23" s="112"/>
      <c r="H23" s="113"/>
      <c r="I23" s="113"/>
      <c r="J23" s="113"/>
      <c r="K23" s="113"/>
      <c r="L23" s="113"/>
      <c r="M23" s="113"/>
      <c r="N23" s="113"/>
      <c r="O23" s="113"/>
      <c r="P23" s="114"/>
    </row>
    <row r="24" spans="2:16" ht="35.1" customHeight="1" thickBot="1" x14ac:dyDescent="0.3">
      <c r="B24" s="110" t="s">
        <v>307</v>
      </c>
      <c r="C24" s="111"/>
      <c r="D24" s="111"/>
      <c r="E24" s="111"/>
      <c r="F24" s="111"/>
      <c r="G24" s="112"/>
      <c r="H24" s="113"/>
      <c r="I24" s="113"/>
      <c r="J24" s="113"/>
      <c r="K24" s="113"/>
      <c r="L24" s="113"/>
      <c r="M24" s="113"/>
      <c r="N24" s="113"/>
      <c r="O24" s="113"/>
      <c r="P24" s="114"/>
    </row>
    <row r="25" spans="2:16" ht="35.1" customHeight="1" thickBot="1" x14ac:dyDescent="0.3">
      <c r="B25" s="98" t="s">
        <v>308</v>
      </c>
      <c r="C25" s="99"/>
      <c r="D25" s="99"/>
      <c r="E25" s="99"/>
      <c r="F25" s="99"/>
      <c r="G25" s="100"/>
      <c r="H25" s="101"/>
      <c r="I25" s="101"/>
      <c r="J25" s="101"/>
      <c r="K25" s="101"/>
      <c r="L25" s="101"/>
      <c r="M25" s="101"/>
      <c r="N25" s="101"/>
      <c r="O25" s="101"/>
      <c r="P25" s="102"/>
    </row>
    <row r="26" spans="2:16" ht="15.75" thickTop="1" x14ac:dyDescent="0.25"/>
    <row r="27" spans="2:16" x14ac:dyDescent="0.25">
      <c r="B27" s="103" t="s">
        <v>310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</row>
    <row r="28" spans="2:16" x14ac:dyDescent="0.25"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</row>
    <row r="29" spans="2:16" x14ac:dyDescent="0.25"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</row>
    <row r="30" spans="2:16" ht="18.75" x14ac:dyDescent="0.25">
      <c r="B30" s="115" t="s">
        <v>311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</row>
    <row r="31" spans="2:16" ht="18.75" x14ac:dyDescent="0.25">
      <c r="B31" s="115" t="s">
        <v>312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</row>
    <row r="32" spans="2:16" ht="18.75" x14ac:dyDescent="0.25">
      <c r="B32" s="115" t="s">
        <v>313</v>
      </c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</row>
    <row r="34" spans="2:16" x14ac:dyDescent="0.25">
      <c r="B34" s="97" t="s">
        <v>314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</row>
    <row r="35" spans="2:16" x14ac:dyDescent="0.25"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</row>
    <row r="36" spans="2:16" x14ac:dyDescent="0.25"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</row>
    <row r="37" spans="2:16" x14ac:dyDescent="0.25"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</row>
    <row r="39" spans="2:16" x14ac:dyDescent="0.25">
      <c r="K39" s="107"/>
      <c r="L39" s="107"/>
      <c r="M39" s="107"/>
      <c r="N39" s="107"/>
      <c r="O39" s="107"/>
    </row>
    <row r="40" spans="2:16" x14ac:dyDescent="0.25">
      <c r="K40" s="107"/>
      <c r="L40" s="107"/>
      <c r="M40" s="107"/>
      <c r="N40" s="107"/>
      <c r="O40" s="107"/>
    </row>
    <row r="41" spans="2:16" ht="18.75" x14ac:dyDescent="0.25">
      <c r="K41" s="108" t="s">
        <v>18</v>
      </c>
      <c r="L41" s="108"/>
      <c r="M41" s="108"/>
      <c r="N41" s="108"/>
      <c r="O41" s="108"/>
    </row>
    <row r="42" spans="2:16" x14ac:dyDescent="0.25">
      <c r="K42" s="107"/>
      <c r="L42" s="107"/>
      <c r="M42" s="107"/>
      <c r="N42" s="107"/>
      <c r="O42" s="107"/>
    </row>
    <row r="43" spans="2:16" ht="15.75" thickBot="1" x14ac:dyDescent="0.3">
      <c r="K43" s="109"/>
      <c r="L43" s="109"/>
      <c r="M43" s="109"/>
      <c r="N43" s="109"/>
      <c r="O43" s="109"/>
    </row>
    <row r="44" spans="2:16" x14ac:dyDescent="0.25">
      <c r="K44" s="105" t="s">
        <v>17</v>
      </c>
      <c r="L44" s="105"/>
      <c r="M44" s="105"/>
      <c r="N44" s="105"/>
      <c r="O44" s="105"/>
    </row>
    <row r="45" spans="2:16" x14ac:dyDescent="0.25">
      <c r="K45" s="106"/>
      <c r="L45" s="106"/>
      <c r="M45" s="106"/>
      <c r="N45" s="106"/>
      <c r="O45" s="106"/>
    </row>
  </sheetData>
  <mergeCells count="40">
    <mergeCell ref="B9:P10"/>
    <mergeCell ref="B2:C5"/>
    <mergeCell ref="D3:Q3"/>
    <mergeCell ref="D4:Q4"/>
    <mergeCell ref="D5:Q5"/>
    <mergeCell ref="D6:Q6"/>
    <mergeCell ref="B24:G24"/>
    <mergeCell ref="H24:P24"/>
    <mergeCell ref="B12:P13"/>
    <mergeCell ref="B16:G16"/>
    <mergeCell ref="H16:P16"/>
    <mergeCell ref="B17:G17"/>
    <mergeCell ref="H17:P17"/>
    <mergeCell ref="B14:P14"/>
    <mergeCell ref="B18:G18"/>
    <mergeCell ref="H18:P18"/>
    <mergeCell ref="B30:P30"/>
    <mergeCell ref="B31:P31"/>
    <mergeCell ref="B32:P32"/>
    <mergeCell ref="B19:G19"/>
    <mergeCell ref="H19:P19"/>
    <mergeCell ref="B20:G20"/>
    <mergeCell ref="H20:P20"/>
    <mergeCell ref="B21:G21"/>
    <mergeCell ref="H21:P21"/>
    <mergeCell ref="B29:P29"/>
    <mergeCell ref="B22:G22"/>
    <mergeCell ref="H22:P22"/>
    <mergeCell ref="B23:G23"/>
    <mergeCell ref="H23:P23"/>
    <mergeCell ref="B34:P37"/>
    <mergeCell ref="B25:G25"/>
    <mergeCell ref="H25:P25"/>
    <mergeCell ref="B27:P28"/>
    <mergeCell ref="K44:O45"/>
    <mergeCell ref="K39:O39"/>
    <mergeCell ref="K40:O40"/>
    <mergeCell ref="K41:O41"/>
    <mergeCell ref="K42:O42"/>
    <mergeCell ref="K43:O43"/>
  </mergeCells>
  <hyperlinks>
    <hyperlink ref="D6" r:id="rId1"/>
  </hyperlinks>
  <pageMargins left="0.7" right="0.7" top="0.75" bottom="0.75" header="0.3" footer="0.3"/>
  <pageSetup scale="60" orientation="portrait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K28" sqref="K28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x14ac:dyDescent="0.25">
      <c r="A2" s="127" t="s">
        <v>13</v>
      </c>
      <c r="B2" s="127"/>
      <c r="C2" s="127"/>
      <c r="D2" s="127"/>
      <c r="E2" s="127"/>
      <c r="F2" s="127"/>
      <c r="G2" s="129" t="s">
        <v>114</v>
      </c>
      <c r="H2" s="129"/>
      <c r="I2" s="129"/>
      <c r="J2" s="129"/>
      <c r="K2" s="129"/>
      <c r="L2" s="129"/>
    </row>
    <row r="3" spans="1:12" ht="15.75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45" x14ac:dyDescent="0.25">
      <c r="A6" s="5">
        <v>1</v>
      </c>
      <c r="B6" s="37" t="s">
        <v>115</v>
      </c>
      <c r="C6" s="40" t="s">
        <v>118</v>
      </c>
      <c r="D6" s="16" t="s">
        <v>33</v>
      </c>
      <c r="E6" s="11">
        <v>200</v>
      </c>
      <c r="F6" s="17">
        <v>0</v>
      </c>
      <c r="G6" s="25">
        <v>0</v>
      </c>
      <c r="H6" s="17">
        <f>Table161339[[#This Row],[Количина]]*Table161339[[#This Row],[Цена по ЈМ без ПДВ – а]]</f>
        <v>0</v>
      </c>
      <c r="I6" s="18">
        <f>Table161339[[#This Row],[Стопа ПДВ - а]]*Table161339[[#This Row],[Укупна цена без ПДВ - а]]</f>
        <v>0</v>
      </c>
      <c r="J6" s="17">
        <f>Table161339[[#This Row],[Укупна цена без ПДВ - а]]+Table161339[[#This Row],[Укупно ПДВ]]</f>
        <v>0</v>
      </c>
      <c r="K6" s="31"/>
      <c r="L6" s="32"/>
    </row>
    <row r="7" spans="1:12" ht="30.75" thickBot="1" x14ac:dyDescent="0.3">
      <c r="A7" s="45">
        <v>2</v>
      </c>
      <c r="B7" s="46" t="s">
        <v>116</v>
      </c>
      <c r="C7" s="47" t="s">
        <v>117</v>
      </c>
      <c r="D7" s="29" t="s">
        <v>33</v>
      </c>
      <c r="E7" s="48">
        <v>1000</v>
      </c>
      <c r="F7" s="49">
        <v>0</v>
      </c>
      <c r="G7" s="50">
        <v>0</v>
      </c>
      <c r="H7" s="49">
        <f>Table161339[[#This Row],[Количина]]*Table161339[[#This Row],[Цена по ЈМ без ПДВ – а]]</f>
        <v>0</v>
      </c>
      <c r="I7" s="51">
        <f>Table161339[[#This Row],[Стопа ПДВ - а]]*Table161339[[#This Row],[Укупна цена без ПДВ - а]]</f>
        <v>0</v>
      </c>
      <c r="J7" s="49">
        <f>Table161339[[#This Row],[Укупна цена без ПДВ - а]]+Table161339[[#This Row],[Укупно ПДВ]]</f>
        <v>0</v>
      </c>
      <c r="K7" s="52"/>
      <c r="L7" s="53"/>
    </row>
    <row r="8" spans="1:12" ht="15.75" thickBot="1" x14ac:dyDescent="0.3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spans="1:12" x14ac:dyDescent="0.25">
      <c r="A9" s="131" t="s">
        <v>14</v>
      </c>
      <c r="B9" s="131"/>
      <c r="C9" s="131"/>
      <c r="D9" s="131"/>
      <c r="E9" s="131"/>
      <c r="F9" s="131"/>
      <c r="G9" s="134" t="s">
        <v>15</v>
      </c>
      <c r="H9" s="134"/>
      <c r="I9" s="134"/>
      <c r="J9" s="134" t="s">
        <v>16</v>
      </c>
      <c r="K9" s="134"/>
      <c r="L9" s="134"/>
    </row>
    <row r="10" spans="1:12" x14ac:dyDescent="0.25">
      <c r="A10" s="132"/>
      <c r="B10" s="132"/>
      <c r="C10" s="132"/>
      <c r="D10" s="132"/>
      <c r="E10" s="132"/>
      <c r="F10" s="132"/>
      <c r="G10" s="135">
        <f>SUM(Table161339[Укупна цена без ПДВ - а])</f>
        <v>0</v>
      </c>
      <c r="H10" s="135"/>
      <c r="I10" s="135"/>
      <c r="J10" s="135">
        <f>SUM(Table161339[Укупна цена са ПДВ - ом])</f>
        <v>0</v>
      </c>
      <c r="K10" s="135"/>
      <c r="L10" s="135"/>
    </row>
    <row r="11" spans="1:12" ht="15.75" thickBot="1" x14ac:dyDescent="0.3">
      <c r="A11" s="133"/>
      <c r="B11" s="133"/>
      <c r="C11" s="133"/>
      <c r="D11" s="133"/>
      <c r="E11" s="133"/>
      <c r="F11" s="133"/>
      <c r="G11" s="136"/>
      <c r="H11" s="136"/>
      <c r="I11" s="136"/>
      <c r="J11" s="136"/>
      <c r="K11" s="136"/>
      <c r="L11" s="136"/>
    </row>
    <row r="12" spans="1:12" ht="15.75" thickBot="1" x14ac:dyDescent="0.3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</row>
    <row r="13" spans="1:12" ht="15.75" thickTop="1" x14ac:dyDescent="0.25">
      <c r="A13" s="141" t="s">
        <v>24</v>
      </c>
      <c r="B13" s="141"/>
      <c r="C13" s="144" t="s">
        <v>69</v>
      </c>
      <c r="D13" s="144"/>
      <c r="E13" s="144"/>
      <c r="F13" s="144"/>
      <c r="G13" s="144"/>
      <c r="H13" s="144"/>
      <c r="I13" s="144"/>
      <c r="J13" s="144"/>
      <c r="K13" s="144"/>
      <c r="L13" s="144"/>
    </row>
    <row r="14" spans="1:12" x14ac:dyDescent="0.25">
      <c r="A14" s="142"/>
      <c r="B14" s="142"/>
      <c r="C14" s="145"/>
      <c r="D14" s="145"/>
      <c r="E14" s="145"/>
      <c r="F14" s="145"/>
      <c r="G14" s="145"/>
      <c r="H14" s="145"/>
      <c r="I14" s="145"/>
      <c r="J14" s="145"/>
      <c r="K14" s="145"/>
      <c r="L14" s="145"/>
    </row>
    <row r="15" spans="1:12" ht="15.75" thickBot="1" x14ac:dyDescent="0.3">
      <c r="A15" s="143"/>
      <c r="B15" s="143"/>
      <c r="C15" s="146"/>
      <c r="D15" s="146"/>
      <c r="E15" s="146"/>
      <c r="F15" s="146"/>
      <c r="G15" s="146"/>
      <c r="H15" s="146"/>
      <c r="I15" s="146"/>
      <c r="J15" s="146"/>
      <c r="K15" s="146"/>
      <c r="L15" s="146"/>
    </row>
    <row r="16" spans="1:12" ht="15.75" thickTop="1" x14ac:dyDescent="0.25"/>
    <row r="17" spans="10:11" x14ac:dyDescent="0.25">
      <c r="J17" s="137" t="s">
        <v>18</v>
      </c>
      <c r="K17" s="137"/>
    </row>
    <row r="18" spans="10:11" x14ac:dyDescent="0.25">
      <c r="J18" s="137"/>
      <c r="K18" s="137"/>
    </row>
    <row r="19" spans="10:11" x14ac:dyDescent="0.25">
      <c r="J19" s="138"/>
      <c r="K19" s="138"/>
    </row>
    <row r="20" spans="10:11" ht="15.75" thickBot="1" x14ac:dyDescent="0.3">
      <c r="J20" s="109"/>
      <c r="K20" s="109"/>
    </row>
    <row r="21" spans="10:11" x14ac:dyDescent="0.25">
      <c r="J21" s="139" t="s">
        <v>17</v>
      </c>
      <c r="K21" s="139"/>
    </row>
    <row r="22" spans="10:11" x14ac:dyDescent="0.25">
      <c r="J22" s="140"/>
      <c r="K22" s="140"/>
    </row>
  </sheetData>
  <mergeCells count="16">
    <mergeCell ref="J21:K22"/>
    <mergeCell ref="A1:L1"/>
    <mergeCell ref="A2:F3"/>
    <mergeCell ref="G2:L3"/>
    <mergeCell ref="A4:L4"/>
    <mergeCell ref="A8:L8"/>
    <mergeCell ref="A9:F11"/>
    <mergeCell ref="G9:I9"/>
    <mergeCell ref="J9:L9"/>
    <mergeCell ref="G10:I11"/>
    <mergeCell ref="J10:L11"/>
    <mergeCell ref="A12:L12"/>
    <mergeCell ref="A13:B15"/>
    <mergeCell ref="C13:L15"/>
    <mergeCell ref="J17:K18"/>
    <mergeCell ref="J19:K20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sqref="A1:L1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15" customHeight="1" x14ac:dyDescent="0.25">
      <c r="A2" s="127" t="s">
        <v>13</v>
      </c>
      <c r="B2" s="127"/>
      <c r="C2" s="127"/>
      <c r="D2" s="127"/>
      <c r="E2" s="127"/>
      <c r="F2" s="127"/>
      <c r="G2" s="129" t="s">
        <v>119</v>
      </c>
      <c r="H2" s="129"/>
      <c r="I2" s="129"/>
      <c r="J2" s="129"/>
      <c r="K2" s="129"/>
      <c r="L2" s="129"/>
    </row>
    <row r="3" spans="1:12" ht="15.75" customHeight="1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18.75" x14ac:dyDescent="0.25">
      <c r="A6" s="5">
        <v>1</v>
      </c>
      <c r="B6" s="37" t="s">
        <v>121</v>
      </c>
      <c r="C6" s="40" t="s">
        <v>120</v>
      </c>
      <c r="D6" s="16" t="s">
        <v>4</v>
      </c>
      <c r="E6" s="11">
        <v>500</v>
      </c>
      <c r="F6" s="17">
        <v>0</v>
      </c>
      <c r="G6" s="25">
        <v>0</v>
      </c>
      <c r="H6" s="17">
        <f>Table16133[[#This Row],[Количина]]*Table16133[[#This Row],[Цена по ЈМ без ПДВ – а]]</f>
        <v>0</v>
      </c>
      <c r="I6" s="18">
        <f>Table16133[[#This Row],[Стопа ПДВ - а]]*Table16133[[#This Row],[Укупна цена без ПДВ - а]]</f>
        <v>0</v>
      </c>
      <c r="J6" s="17">
        <f>Table16133[[#This Row],[Укупна цена без ПДВ - а]]+Table16133[[#This Row],[Укупно ПДВ]]</f>
        <v>0</v>
      </c>
      <c r="K6" s="31"/>
      <c r="L6" s="32"/>
    </row>
    <row r="7" spans="1:12" ht="30.75" thickBot="1" x14ac:dyDescent="0.3">
      <c r="A7" s="45">
        <v>2</v>
      </c>
      <c r="B7" s="46" t="s">
        <v>122</v>
      </c>
      <c r="C7" s="47" t="s">
        <v>123</v>
      </c>
      <c r="D7" s="29" t="s">
        <v>4</v>
      </c>
      <c r="E7" s="48">
        <v>800</v>
      </c>
      <c r="F7" s="49">
        <v>0</v>
      </c>
      <c r="G7" s="50">
        <v>0</v>
      </c>
      <c r="H7" s="49">
        <f>Table16133[[#This Row],[Количина]]*Table16133[[#This Row],[Цена по ЈМ без ПДВ – а]]</f>
        <v>0</v>
      </c>
      <c r="I7" s="51">
        <f>Table16133[[#This Row],[Стопа ПДВ - а]]*Table16133[[#This Row],[Укупна цена без ПДВ - а]]</f>
        <v>0</v>
      </c>
      <c r="J7" s="49">
        <f>Table16133[[#This Row],[Укупна цена без ПДВ - а]]+Table16133[[#This Row],[Укупно ПДВ]]</f>
        <v>0</v>
      </c>
      <c r="K7" s="52"/>
      <c r="L7" s="53"/>
    </row>
    <row r="8" spans="1:12" ht="15.75" thickBot="1" x14ac:dyDescent="0.3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spans="1:12" ht="15" customHeight="1" x14ac:dyDescent="0.25">
      <c r="A9" s="131" t="s">
        <v>14</v>
      </c>
      <c r="B9" s="131"/>
      <c r="C9" s="131"/>
      <c r="D9" s="131"/>
      <c r="E9" s="131"/>
      <c r="F9" s="131"/>
      <c r="G9" s="134" t="s">
        <v>15</v>
      </c>
      <c r="H9" s="134"/>
      <c r="I9" s="134"/>
      <c r="J9" s="134" t="s">
        <v>16</v>
      </c>
      <c r="K9" s="134"/>
      <c r="L9" s="134"/>
    </row>
    <row r="10" spans="1:12" ht="15" customHeight="1" x14ac:dyDescent="0.25">
      <c r="A10" s="132"/>
      <c r="B10" s="132"/>
      <c r="C10" s="132"/>
      <c r="D10" s="132"/>
      <c r="E10" s="132"/>
      <c r="F10" s="132"/>
      <c r="G10" s="135">
        <f>SUM(Table16133[Укупна цена без ПДВ - а])</f>
        <v>0</v>
      </c>
      <c r="H10" s="135"/>
      <c r="I10" s="135"/>
      <c r="J10" s="135">
        <f>SUM(Table16133[Укупна цена са ПДВ - ом])</f>
        <v>0</v>
      </c>
      <c r="K10" s="135"/>
      <c r="L10" s="135"/>
    </row>
    <row r="11" spans="1:12" ht="15.75" customHeight="1" thickBot="1" x14ac:dyDescent="0.3">
      <c r="A11" s="133"/>
      <c r="B11" s="133"/>
      <c r="C11" s="133"/>
      <c r="D11" s="133"/>
      <c r="E11" s="133"/>
      <c r="F11" s="133"/>
      <c r="G11" s="136"/>
      <c r="H11" s="136"/>
      <c r="I11" s="136"/>
      <c r="J11" s="136"/>
      <c r="K11" s="136"/>
      <c r="L11" s="136"/>
    </row>
    <row r="12" spans="1:12" ht="15.75" thickBot="1" x14ac:dyDescent="0.3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</row>
    <row r="13" spans="1:12" ht="15.75" customHeight="1" thickTop="1" x14ac:dyDescent="0.25">
      <c r="A13" s="141" t="s">
        <v>24</v>
      </c>
      <c r="B13" s="141"/>
      <c r="C13" s="144" t="s">
        <v>69</v>
      </c>
      <c r="D13" s="144"/>
      <c r="E13" s="144"/>
      <c r="F13" s="144"/>
      <c r="G13" s="144"/>
      <c r="H13" s="144"/>
      <c r="I13" s="144"/>
      <c r="J13" s="144"/>
      <c r="K13" s="144"/>
      <c r="L13" s="144"/>
    </row>
    <row r="14" spans="1:12" ht="15" customHeight="1" x14ac:dyDescent="0.25">
      <c r="A14" s="142"/>
      <c r="B14" s="142"/>
      <c r="C14" s="145"/>
      <c r="D14" s="145"/>
      <c r="E14" s="145"/>
      <c r="F14" s="145"/>
      <c r="G14" s="145"/>
      <c r="H14" s="145"/>
      <c r="I14" s="145"/>
      <c r="J14" s="145"/>
      <c r="K14" s="145"/>
      <c r="L14" s="145"/>
    </row>
    <row r="15" spans="1:12" ht="15.75" customHeight="1" thickBot="1" x14ac:dyDescent="0.3">
      <c r="A15" s="143"/>
      <c r="B15" s="143"/>
      <c r="C15" s="146"/>
      <c r="D15" s="146"/>
      <c r="E15" s="146"/>
      <c r="F15" s="146"/>
      <c r="G15" s="146"/>
      <c r="H15" s="146"/>
      <c r="I15" s="146"/>
      <c r="J15" s="146"/>
      <c r="K15" s="146"/>
      <c r="L15" s="146"/>
    </row>
    <row r="16" spans="1:12" ht="15.75" thickTop="1" x14ac:dyDescent="0.25"/>
    <row r="17" spans="10:11" x14ac:dyDescent="0.25">
      <c r="J17" s="137" t="s">
        <v>18</v>
      </c>
      <c r="K17" s="137"/>
    </row>
    <row r="18" spans="10:11" x14ac:dyDescent="0.25">
      <c r="J18" s="137"/>
      <c r="K18" s="137"/>
    </row>
    <row r="19" spans="10:11" x14ac:dyDescent="0.25">
      <c r="J19" s="138"/>
      <c r="K19" s="138"/>
    </row>
    <row r="20" spans="10:11" ht="15.75" thickBot="1" x14ac:dyDescent="0.3">
      <c r="J20" s="109"/>
      <c r="K20" s="109"/>
    </row>
    <row r="21" spans="10:11" x14ac:dyDescent="0.25">
      <c r="J21" s="139" t="s">
        <v>17</v>
      </c>
      <c r="K21" s="139"/>
    </row>
    <row r="22" spans="10:11" x14ac:dyDescent="0.25">
      <c r="J22" s="140"/>
      <c r="K22" s="140"/>
    </row>
  </sheetData>
  <mergeCells count="16">
    <mergeCell ref="J21:K22"/>
    <mergeCell ref="A1:L1"/>
    <mergeCell ref="A2:F3"/>
    <mergeCell ref="G2:L3"/>
    <mergeCell ref="A4:L4"/>
    <mergeCell ref="A8:L8"/>
    <mergeCell ref="A9:F11"/>
    <mergeCell ref="G9:I9"/>
    <mergeCell ref="J9:L9"/>
    <mergeCell ref="G10:I11"/>
    <mergeCell ref="J10:L11"/>
    <mergeCell ref="A12:L12"/>
    <mergeCell ref="A13:B15"/>
    <mergeCell ref="C13:L15"/>
    <mergeCell ref="J17:K18"/>
    <mergeCell ref="J19:K20"/>
  </mergeCells>
  <pageMargins left="0.7" right="0.7" top="0.75" bottom="0.75" header="0.3" footer="0.3"/>
  <pageSetup scale="58" orientation="landscape" r:id="rId1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Normal="100" workbookViewId="0">
      <selection activeCell="K34" sqref="K34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15" customHeight="1" x14ac:dyDescent="0.25">
      <c r="A2" s="127" t="s">
        <v>124</v>
      </c>
      <c r="B2" s="127"/>
      <c r="C2" s="127"/>
      <c r="D2" s="127"/>
      <c r="E2" s="127"/>
      <c r="F2" s="127"/>
      <c r="G2" s="129" t="s">
        <v>134</v>
      </c>
      <c r="H2" s="129"/>
      <c r="I2" s="129"/>
      <c r="J2" s="129"/>
      <c r="K2" s="129"/>
      <c r="L2" s="129"/>
    </row>
    <row r="3" spans="1:12" ht="15.75" customHeight="1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18.75" x14ac:dyDescent="0.25">
      <c r="A6" s="5">
        <v>1</v>
      </c>
      <c r="B6" s="37" t="s">
        <v>125</v>
      </c>
      <c r="C6" s="40" t="s">
        <v>130</v>
      </c>
      <c r="D6" s="16" t="s">
        <v>33</v>
      </c>
      <c r="E6" s="11">
        <v>2000</v>
      </c>
      <c r="F6" s="17">
        <v>0</v>
      </c>
      <c r="G6" s="25">
        <v>0</v>
      </c>
      <c r="H6" s="17">
        <f>Table16134[[#This Row],[Количина]]*Table16134[[#This Row],[Цена по ЈМ без ПДВ – а]]</f>
        <v>0</v>
      </c>
      <c r="I6" s="18">
        <f>Table16134[[#This Row],[Стопа ПДВ - а]]*Table16134[[#This Row],[Укупна цена без ПДВ - а]]</f>
        <v>0</v>
      </c>
      <c r="J6" s="17">
        <f>Table16134[[#This Row],[Укупна цена без ПДВ - а]]+Table16134[[#This Row],[Укупно ПДВ]]</f>
        <v>0</v>
      </c>
      <c r="K6" s="31"/>
      <c r="L6" s="32"/>
    </row>
    <row r="7" spans="1:12" ht="18.75" x14ac:dyDescent="0.25">
      <c r="A7" s="6">
        <v>2</v>
      </c>
      <c r="B7" s="38" t="s">
        <v>126</v>
      </c>
      <c r="C7" s="41" t="s">
        <v>131</v>
      </c>
      <c r="D7" s="16" t="s">
        <v>33</v>
      </c>
      <c r="E7" s="12">
        <v>100</v>
      </c>
      <c r="F7" s="19">
        <v>0</v>
      </c>
      <c r="G7" s="26">
        <v>0</v>
      </c>
      <c r="H7" s="19">
        <f>Table16134[[#This Row],[Количина]]*Table16134[[#This Row],[Цена по ЈМ без ПДВ – а]]</f>
        <v>0</v>
      </c>
      <c r="I7" s="20">
        <f>Table16134[[#This Row],[Стопа ПДВ - а]]*Table16134[[#This Row],[Укупна цена без ПДВ - а]]</f>
        <v>0</v>
      </c>
      <c r="J7" s="19">
        <f>Table16134[[#This Row],[Укупна цена без ПДВ - а]]+Table16134[[#This Row],[Укупно ПДВ]]</f>
        <v>0</v>
      </c>
      <c r="K7" s="33"/>
      <c r="L7" s="34"/>
    </row>
    <row r="8" spans="1:12" ht="18.75" x14ac:dyDescent="0.25">
      <c r="A8" s="6">
        <v>3</v>
      </c>
      <c r="B8" s="38" t="s">
        <v>127</v>
      </c>
      <c r="C8" s="41" t="s">
        <v>131</v>
      </c>
      <c r="D8" s="16" t="s">
        <v>33</v>
      </c>
      <c r="E8" s="12">
        <v>100</v>
      </c>
      <c r="F8" s="19">
        <v>0</v>
      </c>
      <c r="G8" s="26">
        <v>0</v>
      </c>
      <c r="H8" s="19">
        <f>Table16134[[#This Row],[Количина]]*Table16134[[#This Row],[Цена по ЈМ без ПДВ – а]]</f>
        <v>0</v>
      </c>
      <c r="I8" s="20">
        <f>Table16134[[#This Row],[Стопа ПДВ - а]]*Table16134[[#This Row],[Укупна цена без ПДВ - а]]</f>
        <v>0</v>
      </c>
      <c r="J8" s="19">
        <f>Table16134[[#This Row],[Укупна цена без ПДВ - а]]+Table16134[[#This Row],[Укупно ПДВ]]</f>
        <v>0</v>
      </c>
      <c r="K8" s="33"/>
      <c r="L8" s="34"/>
    </row>
    <row r="9" spans="1:12" ht="18.75" x14ac:dyDescent="0.25">
      <c r="A9" s="6">
        <v>4</v>
      </c>
      <c r="B9" s="38" t="s">
        <v>128</v>
      </c>
      <c r="C9" s="41" t="s">
        <v>131</v>
      </c>
      <c r="D9" s="16" t="s">
        <v>33</v>
      </c>
      <c r="E9" s="12">
        <v>100</v>
      </c>
      <c r="F9" s="19">
        <v>0</v>
      </c>
      <c r="G9" s="26">
        <v>0</v>
      </c>
      <c r="H9" s="19">
        <f>Table16134[[#This Row],[Количина]]*Table16134[[#This Row],[Цена по ЈМ без ПДВ – а]]</f>
        <v>0</v>
      </c>
      <c r="I9" s="20">
        <f>Table16134[[#This Row],[Стопа ПДВ - а]]*Table16134[[#This Row],[Укупна цена без ПДВ - а]]</f>
        <v>0</v>
      </c>
      <c r="J9" s="19">
        <f>Table16134[[#This Row],[Укупна цена без ПДВ - а]]+Table16134[[#This Row],[Укупно ПДВ]]</f>
        <v>0</v>
      </c>
      <c r="K9" s="33"/>
      <c r="L9" s="34"/>
    </row>
    <row r="10" spans="1:12" ht="19.5" thickBot="1" x14ac:dyDescent="0.3">
      <c r="A10" s="45">
        <v>5</v>
      </c>
      <c r="B10" s="46" t="s">
        <v>129</v>
      </c>
      <c r="C10" s="47" t="s">
        <v>132</v>
      </c>
      <c r="D10" s="29" t="s">
        <v>33</v>
      </c>
      <c r="E10" s="48">
        <v>50</v>
      </c>
      <c r="F10" s="49">
        <v>0</v>
      </c>
      <c r="G10" s="50">
        <v>0</v>
      </c>
      <c r="H10" s="49">
        <f>Table16134[[#This Row],[Количина]]*Table16134[[#This Row],[Цена по ЈМ без ПДВ – а]]</f>
        <v>0</v>
      </c>
      <c r="I10" s="51">
        <f>Table16134[[#This Row],[Стопа ПДВ - а]]*Table16134[[#This Row],[Укупна цена без ПДВ - а]]</f>
        <v>0</v>
      </c>
      <c r="J10" s="49">
        <f>Table16134[[#This Row],[Укупна цена без ПДВ - а]]+Table16134[[#This Row],[Укупно ПДВ]]</f>
        <v>0</v>
      </c>
      <c r="K10" s="52"/>
      <c r="L10" s="53"/>
    </row>
    <row r="11" spans="1:12" ht="15.75" thickBot="1" x14ac:dyDescent="0.3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</row>
    <row r="12" spans="1:12" ht="15" customHeight="1" x14ac:dyDescent="0.25">
      <c r="A12" s="131" t="s">
        <v>14</v>
      </c>
      <c r="B12" s="131"/>
      <c r="C12" s="131"/>
      <c r="D12" s="131"/>
      <c r="E12" s="131"/>
      <c r="F12" s="131"/>
      <c r="G12" s="134" t="s">
        <v>15</v>
      </c>
      <c r="H12" s="134"/>
      <c r="I12" s="134"/>
      <c r="J12" s="134" t="s">
        <v>16</v>
      </c>
      <c r="K12" s="134"/>
      <c r="L12" s="134"/>
    </row>
    <row r="13" spans="1:12" ht="15" customHeight="1" x14ac:dyDescent="0.25">
      <c r="A13" s="132"/>
      <c r="B13" s="132"/>
      <c r="C13" s="132"/>
      <c r="D13" s="132"/>
      <c r="E13" s="132"/>
      <c r="F13" s="132"/>
      <c r="G13" s="135">
        <f>SUM(Table16134[Укупна цена без ПДВ - а])</f>
        <v>0</v>
      </c>
      <c r="H13" s="135"/>
      <c r="I13" s="135"/>
      <c r="J13" s="135">
        <f>SUM(Table16134[Укупна цена са ПДВ - ом])</f>
        <v>0</v>
      </c>
      <c r="K13" s="135"/>
      <c r="L13" s="135"/>
    </row>
    <row r="14" spans="1:12" ht="15.75" customHeight="1" thickBot="1" x14ac:dyDescent="0.3">
      <c r="A14" s="133"/>
      <c r="B14" s="133"/>
      <c r="C14" s="133"/>
      <c r="D14" s="133"/>
      <c r="E14" s="133"/>
      <c r="F14" s="133"/>
      <c r="G14" s="136"/>
      <c r="H14" s="136"/>
      <c r="I14" s="136"/>
      <c r="J14" s="136"/>
      <c r="K14" s="136"/>
      <c r="L14" s="136"/>
    </row>
    <row r="15" spans="1:12" ht="15.75" thickBot="1" x14ac:dyDescent="0.3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</row>
    <row r="16" spans="1:12" ht="15.75" customHeight="1" thickTop="1" x14ac:dyDescent="0.25">
      <c r="A16" s="141" t="s">
        <v>24</v>
      </c>
      <c r="B16" s="141"/>
      <c r="C16" s="144"/>
      <c r="D16" s="144"/>
      <c r="E16" s="144"/>
      <c r="F16" s="144"/>
      <c r="G16" s="144"/>
      <c r="H16" s="144"/>
      <c r="I16" s="144"/>
      <c r="J16" s="144"/>
      <c r="K16" s="144"/>
      <c r="L16" s="144"/>
    </row>
    <row r="17" spans="1:12" ht="15" customHeight="1" x14ac:dyDescent="0.25">
      <c r="A17" s="142"/>
      <c r="B17" s="142"/>
      <c r="C17" s="145"/>
      <c r="D17" s="145"/>
      <c r="E17" s="145"/>
      <c r="F17" s="145"/>
      <c r="G17" s="145"/>
      <c r="H17" s="145"/>
      <c r="I17" s="145"/>
      <c r="J17" s="145"/>
      <c r="K17" s="145"/>
      <c r="L17" s="145"/>
    </row>
    <row r="18" spans="1:12" ht="15.75" customHeight="1" thickBot="1" x14ac:dyDescent="0.3">
      <c r="A18" s="143"/>
      <c r="B18" s="143"/>
      <c r="C18" s="146"/>
      <c r="D18" s="146"/>
      <c r="E18" s="146"/>
      <c r="F18" s="146"/>
      <c r="G18" s="146"/>
      <c r="H18" s="146"/>
      <c r="I18" s="146"/>
      <c r="J18" s="146"/>
      <c r="K18" s="146"/>
      <c r="L18" s="146"/>
    </row>
    <row r="19" spans="1:12" ht="15.75" thickTop="1" x14ac:dyDescent="0.25"/>
    <row r="20" spans="1:12" x14ac:dyDescent="0.25">
      <c r="J20" s="137" t="s">
        <v>18</v>
      </c>
      <c r="K20" s="137"/>
    </row>
    <row r="21" spans="1:12" x14ac:dyDescent="0.25">
      <c r="J21" s="137"/>
      <c r="K21" s="137"/>
    </row>
    <row r="22" spans="1:12" x14ac:dyDescent="0.25">
      <c r="J22" s="138"/>
      <c r="K22" s="138"/>
    </row>
    <row r="23" spans="1:12" ht="15.75" thickBot="1" x14ac:dyDescent="0.3">
      <c r="J23" s="109"/>
      <c r="K23" s="109"/>
    </row>
    <row r="24" spans="1:12" x14ac:dyDescent="0.25">
      <c r="J24" s="139" t="s">
        <v>17</v>
      </c>
      <c r="K24" s="139"/>
    </row>
    <row r="25" spans="1:12" x14ac:dyDescent="0.25">
      <c r="J25" s="140"/>
      <c r="K25" s="140"/>
    </row>
  </sheetData>
  <mergeCells count="16">
    <mergeCell ref="J24:K25"/>
    <mergeCell ref="A1:L1"/>
    <mergeCell ref="A2:F3"/>
    <mergeCell ref="G2:L3"/>
    <mergeCell ref="A4:L4"/>
    <mergeCell ref="A11:L11"/>
    <mergeCell ref="A12:F14"/>
    <mergeCell ref="G12:I12"/>
    <mergeCell ref="J12:L12"/>
    <mergeCell ref="G13:I14"/>
    <mergeCell ref="J13:L14"/>
    <mergeCell ref="A15:L15"/>
    <mergeCell ref="A16:B18"/>
    <mergeCell ref="C16:L18"/>
    <mergeCell ref="J20:K21"/>
    <mergeCell ref="J22:K23"/>
  </mergeCells>
  <pageMargins left="0.7" right="0.7" top="0.75" bottom="0.75" header="0.3" footer="0.3"/>
  <pageSetup scale="58" orientation="landscape" r:id="rId1"/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Normal="100" workbookViewId="0">
      <selection sqref="A1:L1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15" customHeight="1" x14ac:dyDescent="0.25">
      <c r="A2" s="127" t="s">
        <v>13</v>
      </c>
      <c r="B2" s="127"/>
      <c r="C2" s="127"/>
      <c r="D2" s="127"/>
      <c r="E2" s="127"/>
      <c r="F2" s="127"/>
      <c r="G2" s="129" t="s">
        <v>133</v>
      </c>
      <c r="H2" s="129"/>
      <c r="I2" s="129"/>
      <c r="J2" s="129"/>
      <c r="K2" s="129"/>
      <c r="L2" s="129"/>
    </row>
    <row r="3" spans="1:12" ht="15.75" customHeight="1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.75" thickBot="1" x14ac:dyDescent="0.3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18.75" x14ac:dyDescent="0.25">
      <c r="A6" s="5">
        <v>1</v>
      </c>
      <c r="B6" s="37" t="s">
        <v>135</v>
      </c>
      <c r="C6" s="67" t="s">
        <v>131</v>
      </c>
      <c r="D6" s="16" t="s">
        <v>33</v>
      </c>
      <c r="E6" s="11">
        <v>250</v>
      </c>
      <c r="F6" s="17">
        <v>0</v>
      </c>
      <c r="G6" s="25">
        <v>0</v>
      </c>
      <c r="H6" s="17">
        <f>Table16138[[#This Row],[Количина]]*Table16138[[#This Row],[Цена по ЈМ без ПДВ – а]]</f>
        <v>0</v>
      </c>
      <c r="I6" s="18">
        <f>Table16138[[#This Row],[Стопа ПДВ - а]]*Table16138[[#This Row],[Укупна цена без ПДВ - а]]</f>
        <v>0</v>
      </c>
      <c r="J6" s="17">
        <f>Table16138[[#This Row],[Укупна цена без ПДВ - а]]+Table16138[[#This Row],[Укупно ПДВ]]</f>
        <v>0</v>
      </c>
      <c r="K6" s="31"/>
      <c r="L6" s="32"/>
    </row>
    <row r="7" spans="1:12" ht="18.75" x14ac:dyDescent="0.25">
      <c r="A7" s="6">
        <v>2</v>
      </c>
      <c r="B7" s="38" t="s">
        <v>136</v>
      </c>
      <c r="C7" s="41" t="s">
        <v>131</v>
      </c>
      <c r="D7" s="16" t="s">
        <v>33</v>
      </c>
      <c r="E7" s="12">
        <v>400</v>
      </c>
      <c r="F7" s="19">
        <v>0</v>
      </c>
      <c r="G7" s="26">
        <v>0</v>
      </c>
      <c r="H7" s="19">
        <f>Table16138[[#This Row],[Количина]]*Table16138[[#This Row],[Цена по ЈМ без ПДВ – а]]</f>
        <v>0</v>
      </c>
      <c r="I7" s="20">
        <f>Table16138[[#This Row],[Стопа ПДВ - а]]*Table16138[[#This Row],[Укупна цена без ПДВ - а]]</f>
        <v>0</v>
      </c>
      <c r="J7" s="19">
        <f>Table16138[[#This Row],[Укупна цена без ПДВ - а]]+Table16138[[#This Row],[Укупно ПДВ]]</f>
        <v>0</v>
      </c>
      <c r="K7" s="33"/>
      <c r="L7" s="34"/>
    </row>
    <row r="8" spans="1:12" ht="18.75" x14ac:dyDescent="0.25">
      <c r="A8" s="6">
        <v>3</v>
      </c>
      <c r="B8" s="38" t="s">
        <v>137</v>
      </c>
      <c r="C8" s="41" t="s">
        <v>131</v>
      </c>
      <c r="D8" s="16" t="s">
        <v>33</v>
      </c>
      <c r="E8" s="12">
        <v>500</v>
      </c>
      <c r="F8" s="19">
        <v>0</v>
      </c>
      <c r="G8" s="26">
        <v>0</v>
      </c>
      <c r="H8" s="19">
        <f>Table16138[[#This Row],[Количина]]*Table16138[[#This Row],[Цена по ЈМ без ПДВ – а]]</f>
        <v>0</v>
      </c>
      <c r="I8" s="20">
        <f>Table16138[[#This Row],[Стопа ПДВ - а]]*Table16138[[#This Row],[Укупна цена без ПДВ - а]]</f>
        <v>0</v>
      </c>
      <c r="J8" s="19">
        <f>Table16138[[#This Row],[Укупна цена без ПДВ - а]]+Table16138[[#This Row],[Укупно ПДВ]]</f>
        <v>0</v>
      </c>
      <c r="K8" s="33"/>
      <c r="L8" s="34"/>
    </row>
    <row r="9" spans="1:12" ht="18.75" x14ac:dyDescent="0.25">
      <c r="A9" s="6">
        <v>4</v>
      </c>
      <c r="B9" s="38" t="s">
        <v>138</v>
      </c>
      <c r="C9" s="41" t="s">
        <v>131</v>
      </c>
      <c r="D9" s="16" t="s">
        <v>33</v>
      </c>
      <c r="E9" s="12">
        <v>200</v>
      </c>
      <c r="F9" s="19">
        <v>0</v>
      </c>
      <c r="G9" s="26">
        <v>0</v>
      </c>
      <c r="H9" s="19">
        <f>Table16138[[#This Row],[Количина]]*Table16138[[#This Row],[Цена по ЈМ без ПДВ – а]]</f>
        <v>0</v>
      </c>
      <c r="I9" s="20">
        <f>Table16138[[#This Row],[Стопа ПДВ - а]]*Table16138[[#This Row],[Укупна цена без ПДВ - а]]</f>
        <v>0</v>
      </c>
      <c r="J9" s="19">
        <f>Table16138[[#This Row],[Укупна цена без ПДВ - а]]+Table16138[[#This Row],[Укупно ПДВ]]</f>
        <v>0</v>
      </c>
      <c r="K9" s="33"/>
      <c r="L9" s="34"/>
    </row>
    <row r="10" spans="1:12" ht="19.5" thickBot="1" x14ac:dyDescent="0.3">
      <c r="A10" s="45">
        <v>5</v>
      </c>
      <c r="B10" s="46" t="s">
        <v>139</v>
      </c>
      <c r="C10" s="47" t="s">
        <v>131</v>
      </c>
      <c r="D10" s="29" t="s">
        <v>33</v>
      </c>
      <c r="E10" s="48">
        <v>200</v>
      </c>
      <c r="F10" s="49">
        <v>0</v>
      </c>
      <c r="G10" s="50">
        <v>0</v>
      </c>
      <c r="H10" s="49">
        <f>Table16138[[#This Row],[Количина]]*Table16138[[#This Row],[Цена по ЈМ без ПДВ – а]]</f>
        <v>0</v>
      </c>
      <c r="I10" s="51">
        <f>Table16138[[#This Row],[Стопа ПДВ - а]]*Table16138[[#This Row],[Укупна цена без ПДВ - а]]</f>
        <v>0</v>
      </c>
      <c r="J10" s="49">
        <f>Table16138[[#This Row],[Укупна цена без ПДВ - а]]+Table16138[[#This Row],[Укупно ПДВ]]</f>
        <v>0</v>
      </c>
      <c r="K10" s="52"/>
      <c r="L10" s="53"/>
    </row>
    <row r="11" spans="1:12" ht="15.75" thickBot="1" x14ac:dyDescent="0.3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</row>
    <row r="12" spans="1:12" ht="15" customHeight="1" x14ac:dyDescent="0.25">
      <c r="A12" s="131" t="s">
        <v>14</v>
      </c>
      <c r="B12" s="131"/>
      <c r="C12" s="131"/>
      <c r="D12" s="131"/>
      <c r="E12" s="131"/>
      <c r="F12" s="131"/>
      <c r="G12" s="134" t="s">
        <v>15</v>
      </c>
      <c r="H12" s="134"/>
      <c r="I12" s="134"/>
      <c r="J12" s="134" t="s">
        <v>16</v>
      </c>
      <c r="K12" s="134"/>
      <c r="L12" s="134"/>
    </row>
    <row r="13" spans="1:12" ht="15" customHeight="1" x14ac:dyDescent="0.25">
      <c r="A13" s="132"/>
      <c r="B13" s="132"/>
      <c r="C13" s="132"/>
      <c r="D13" s="132"/>
      <c r="E13" s="132"/>
      <c r="F13" s="132"/>
      <c r="G13" s="135">
        <f>SUM(Table16138[Укупна цена без ПДВ - а])</f>
        <v>0</v>
      </c>
      <c r="H13" s="135"/>
      <c r="I13" s="135"/>
      <c r="J13" s="135">
        <f>SUM(Table16138[Укупна цена са ПДВ - ом])</f>
        <v>0</v>
      </c>
      <c r="K13" s="135"/>
      <c r="L13" s="135"/>
    </row>
    <row r="14" spans="1:12" ht="15.75" customHeight="1" thickBot="1" x14ac:dyDescent="0.3">
      <c r="A14" s="133"/>
      <c r="B14" s="133"/>
      <c r="C14" s="133"/>
      <c r="D14" s="133"/>
      <c r="E14" s="133"/>
      <c r="F14" s="133"/>
      <c r="G14" s="136"/>
      <c r="H14" s="136"/>
      <c r="I14" s="136"/>
      <c r="J14" s="136"/>
      <c r="K14" s="136"/>
      <c r="L14" s="136"/>
    </row>
    <row r="15" spans="1:12" ht="15.75" thickBot="1" x14ac:dyDescent="0.3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</row>
    <row r="16" spans="1:12" ht="15.75" customHeight="1" thickTop="1" x14ac:dyDescent="0.25">
      <c r="A16" s="141" t="s">
        <v>24</v>
      </c>
      <c r="B16" s="141"/>
      <c r="C16" s="144"/>
      <c r="D16" s="144"/>
      <c r="E16" s="144"/>
      <c r="F16" s="144"/>
      <c r="G16" s="144"/>
      <c r="H16" s="144"/>
      <c r="I16" s="144"/>
      <c r="J16" s="144"/>
      <c r="K16" s="144"/>
      <c r="L16" s="144"/>
    </row>
    <row r="17" spans="1:12" ht="15" customHeight="1" x14ac:dyDescent="0.25">
      <c r="A17" s="142"/>
      <c r="B17" s="142"/>
      <c r="C17" s="145"/>
      <c r="D17" s="145"/>
      <c r="E17" s="145"/>
      <c r="F17" s="145"/>
      <c r="G17" s="145"/>
      <c r="H17" s="145"/>
      <c r="I17" s="145"/>
      <c r="J17" s="145"/>
      <c r="K17" s="145"/>
      <c r="L17" s="145"/>
    </row>
    <row r="18" spans="1:12" ht="15.75" customHeight="1" thickBot="1" x14ac:dyDescent="0.3">
      <c r="A18" s="143"/>
      <c r="B18" s="143"/>
      <c r="C18" s="146"/>
      <c r="D18" s="146"/>
      <c r="E18" s="146"/>
      <c r="F18" s="146"/>
      <c r="G18" s="146"/>
      <c r="H18" s="146"/>
      <c r="I18" s="146"/>
      <c r="J18" s="146"/>
      <c r="K18" s="146"/>
      <c r="L18" s="146"/>
    </row>
    <row r="19" spans="1:12" ht="15.75" thickTop="1" x14ac:dyDescent="0.25"/>
    <row r="20" spans="1:12" x14ac:dyDescent="0.25">
      <c r="J20" s="137" t="s">
        <v>18</v>
      </c>
      <c r="K20" s="137"/>
    </row>
    <row r="21" spans="1:12" x14ac:dyDescent="0.25">
      <c r="J21" s="137"/>
      <c r="K21" s="137"/>
    </row>
    <row r="22" spans="1:12" x14ac:dyDescent="0.25">
      <c r="J22" s="138"/>
      <c r="K22" s="138"/>
    </row>
    <row r="23" spans="1:12" ht="15.75" thickBot="1" x14ac:dyDescent="0.3">
      <c r="J23" s="109"/>
      <c r="K23" s="109"/>
    </row>
    <row r="24" spans="1:12" x14ac:dyDescent="0.25">
      <c r="J24" s="139" t="s">
        <v>17</v>
      </c>
      <c r="K24" s="139"/>
    </row>
    <row r="25" spans="1:12" x14ac:dyDescent="0.25">
      <c r="J25" s="140"/>
      <c r="K25" s="140"/>
    </row>
  </sheetData>
  <mergeCells count="16">
    <mergeCell ref="J24:K25"/>
    <mergeCell ref="A1:L1"/>
    <mergeCell ref="A2:F3"/>
    <mergeCell ref="G2:L3"/>
    <mergeCell ref="A4:L4"/>
    <mergeCell ref="A11:L11"/>
    <mergeCell ref="A12:F14"/>
    <mergeCell ref="G12:I12"/>
    <mergeCell ref="J12:L12"/>
    <mergeCell ref="G13:I14"/>
    <mergeCell ref="J13:L14"/>
    <mergeCell ref="A15:L15"/>
    <mergeCell ref="A16:B18"/>
    <mergeCell ref="C16:L18"/>
    <mergeCell ref="J20:K21"/>
    <mergeCell ref="J22:K23"/>
  </mergeCells>
  <pageMargins left="0.7" right="0.7" top="0.75" bottom="0.75" header="0.3" footer="0.3"/>
  <pageSetup scale="56" orientation="landscape" r:id="rId1"/>
  <drawing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19" zoomScaleNormal="100" workbookViewId="0">
      <selection activeCell="L41" sqref="L41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15" customHeight="1" x14ac:dyDescent="0.25">
      <c r="A2" s="127" t="s">
        <v>13</v>
      </c>
      <c r="B2" s="127"/>
      <c r="C2" s="127"/>
      <c r="D2" s="127"/>
      <c r="E2" s="127"/>
      <c r="F2" s="127"/>
      <c r="G2" s="129" t="s">
        <v>140</v>
      </c>
      <c r="H2" s="129"/>
      <c r="I2" s="129"/>
      <c r="J2" s="129"/>
      <c r="K2" s="129"/>
      <c r="L2" s="129"/>
    </row>
    <row r="3" spans="1:12" ht="15.75" customHeight="1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18.75" x14ac:dyDescent="0.25">
      <c r="A6" s="5">
        <v>1</v>
      </c>
      <c r="B6" s="37" t="s">
        <v>141</v>
      </c>
      <c r="C6" s="40" t="s">
        <v>131</v>
      </c>
      <c r="D6" s="16" t="s">
        <v>33</v>
      </c>
      <c r="E6" s="11">
        <v>1000</v>
      </c>
      <c r="F6" s="17">
        <v>0</v>
      </c>
      <c r="G6" s="25">
        <v>0</v>
      </c>
      <c r="H6" s="17">
        <f>Table16136[[#This Row],[Количина]]*Table16136[[#This Row],[Цена по ЈМ без ПДВ – а]]</f>
        <v>0</v>
      </c>
      <c r="I6" s="18">
        <f>Table16136[[#This Row],[Стопа ПДВ - а]]*Table16136[[#This Row],[Укупна цена без ПДВ - а]]</f>
        <v>0</v>
      </c>
      <c r="J6" s="17">
        <f>Table16136[[#This Row],[Укупна цена без ПДВ - а]]+Table16136[[#This Row],[Укупно ПДВ]]</f>
        <v>0</v>
      </c>
      <c r="K6" s="31"/>
      <c r="L6" s="32"/>
    </row>
    <row r="7" spans="1:12" ht="18.75" x14ac:dyDescent="0.25">
      <c r="A7" s="6">
        <v>2</v>
      </c>
      <c r="B7" s="38" t="s">
        <v>142</v>
      </c>
      <c r="C7" s="41" t="s">
        <v>131</v>
      </c>
      <c r="D7" s="16" t="s">
        <v>33</v>
      </c>
      <c r="E7" s="12">
        <v>2000</v>
      </c>
      <c r="F7" s="19">
        <v>0</v>
      </c>
      <c r="G7" s="26">
        <v>0</v>
      </c>
      <c r="H7" s="19">
        <f>Table16136[[#This Row],[Количина]]*Table16136[[#This Row],[Цена по ЈМ без ПДВ – а]]</f>
        <v>0</v>
      </c>
      <c r="I7" s="20">
        <f>Table16136[[#This Row],[Стопа ПДВ - а]]*Table16136[[#This Row],[Укупна цена без ПДВ - а]]</f>
        <v>0</v>
      </c>
      <c r="J7" s="19">
        <f>Table16136[[#This Row],[Укупна цена без ПДВ - а]]+Table16136[[#This Row],[Укупно ПДВ]]</f>
        <v>0</v>
      </c>
      <c r="K7" s="33"/>
      <c r="L7" s="34"/>
    </row>
    <row r="8" spans="1:12" ht="18.75" x14ac:dyDescent="0.25">
      <c r="A8" s="6">
        <v>3</v>
      </c>
      <c r="B8" s="38" t="s">
        <v>143</v>
      </c>
      <c r="C8" s="41" t="s">
        <v>131</v>
      </c>
      <c r="D8" s="16" t="s">
        <v>33</v>
      </c>
      <c r="E8" s="12">
        <v>4500</v>
      </c>
      <c r="F8" s="19">
        <v>0</v>
      </c>
      <c r="G8" s="26">
        <v>0</v>
      </c>
      <c r="H8" s="19">
        <f>Table16136[[#This Row],[Количина]]*Table16136[[#This Row],[Цена по ЈМ без ПДВ – а]]</f>
        <v>0</v>
      </c>
      <c r="I8" s="20">
        <f>Table16136[[#This Row],[Стопа ПДВ - а]]*Table16136[[#This Row],[Укупна цена без ПДВ - а]]</f>
        <v>0</v>
      </c>
      <c r="J8" s="19">
        <f>Table16136[[#This Row],[Укупна цена без ПДВ - а]]+Table16136[[#This Row],[Укупно ПДВ]]</f>
        <v>0</v>
      </c>
      <c r="K8" s="33"/>
      <c r="L8" s="34"/>
    </row>
    <row r="9" spans="1:12" ht="18.75" x14ac:dyDescent="0.25">
      <c r="A9" s="6">
        <v>4</v>
      </c>
      <c r="B9" s="38" t="s">
        <v>144</v>
      </c>
      <c r="C9" s="41" t="s">
        <v>131</v>
      </c>
      <c r="D9" s="16" t="s">
        <v>33</v>
      </c>
      <c r="E9" s="12">
        <v>2000</v>
      </c>
      <c r="F9" s="19">
        <v>0</v>
      </c>
      <c r="G9" s="26">
        <v>0</v>
      </c>
      <c r="H9" s="19">
        <f>Table16136[[#This Row],[Количина]]*Table16136[[#This Row],[Цена по ЈМ без ПДВ – а]]</f>
        <v>0</v>
      </c>
      <c r="I9" s="20">
        <f>Table16136[[#This Row],[Стопа ПДВ - а]]*Table16136[[#This Row],[Укупна цена без ПДВ - а]]</f>
        <v>0</v>
      </c>
      <c r="J9" s="19">
        <f>Table16136[[#This Row],[Укупна цена без ПДВ - а]]+Table16136[[#This Row],[Укупно ПДВ]]</f>
        <v>0</v>
      </c>
      <c r="K9" s="33"/>
      <c r="L9" s="34"/>
    </row>
    <row r="10" spans="1:12" ht="18.75" x14ac:dyDescent="0.25">
      <c r="A10" s="6">
        <v>5</v>
      </c>
      <c r="B10" s="38" t="s">
        <v>145</v>
      </c>
      <c r="C10" s="41" t="s">
        <v>131</v>
      </c>
      <c r="D10" s="16" t="s">
        <v>33</v>
      </c>
      <c r="E10" s="12">
        <v>70</v>
      </c>
      <c r="F10" s="19">
        <v>0</v>
      </c>
      <c r="G10" s="26">
        <v>0</v>
      </c>
      <c r="H10" s="19">
        <f>Table16136[[#This Row],[Количина]]*Table16136[[#This Row],[Цена по ЈМ без ПДВ – а]]</f>
        <v>0</v>
      </c>
      <c r="I10" s="20">
        <f>Table16136[[#This Row],[Стопа ПДВ - а]]*Table16136[[#This Row],[Укупна цена без ПДВ - а]]</f>
        <v>0</v>
      </c>
      <c r="J10" s="19">
        <f>Table16136[[#This Row],[Укупна цена без ПДВ - а]]+Table16136[[#This Row],[Укупно ПДВ]]</f>
        <v>0</v>
      </c>
      <c r="K10" s="33"/>
      <c r="L10" s="34"/>
    </row>
    <row r="11" spans="1:12" ht="18.75" x14ac:dyDescent="0.25">
      <c r="A11" s="6">
        <v>6</v>
      </c>
      <c r="B11" s="38" t="s">
        <v>146</v>
      </c>
      <c r="C11" s="41" t="s">
        <v>131</v>
      </c>
      <c r="D11" s="16" t="s">
        <v>33</v>
      </c>
      <c r="E11" s="12">
        <v>150</v>
      </c>
      <c r="F11" s="19">
        <v>0</v>
      </c>
      <c r="G11" s="26">
        <v>0</v>
      </c>
      <c r="H11" s="19">
        <f>Table16136[[#This Row],[Количина]]*Table16136[[#This Row],[Цена по ЈМ без ПДВ – а]]</f>
        <v>0</v>
      </c>
      <c r="I11" s="20">
        <f>Table16136[[#This Row],[Стопа ПДВ - а]]*Table16136[[#This Row],[Укупна цена без ПДВ - а]]</f>
        <v>0</v>
      </c>
      <c r="J11" s="19">
        <f>Table16136[[#This Row],[Укупна цена без ПДВ - а]]+Table16136[[#This Row],[Укупно ПДВ]]</f>
        <v>0</v>
      </c>
      <c r="K11" s="33"/>
      <c r="L11" s="34"/>
    </row>
    <row r="12" spans="1:12" ht="18.75" x14ac:dyDescent="0.25">
      <c r="A12" s="6">
        <v>7</v>
      </c>
      <c r="B12" s="38" t="s">
        <v>147</v>
      </c>
      <c r="C12" s="41" t="s">
        <v>131</v>
      </c>
      <c r="D12" s="16" t="s">
        <v>33</v>
      </c>
      <c r="E12" s="12">
        <v>350</v>
      </c>
      <c r="F12" s="19">
        <v>0</v>
      </c>
      <c r="G12" s="26">
        <v>0</v>
      </c>
      <c r="H12" s="19">
        <f>Table16136[[#This Row],[Количина]]*Table16136[[#This Row],[Цена по ЈМ без ПДВ – а]]</f>
        <v>0</v>
      </c>
      <c r="I12" s="20">
        <f>Table16136[[#This Row],[Стопа ПДВ - а]]*Table16136[[#This Row],[Укупна цена без ПДВ - а]]</f>
        <v>0</v>
      </c>
      <c r="J12" s="19">
        <f>Table16136[[#This Row],[Укупна цена без ПДВ - а]]+Table16136[[#This Row],[Укупно ПДВ]]</f>
        <v>0</v>
      </c>
      <c r="K12" s="33"/>
      <c r="L12" s="34"/>
    </row>
    <row r="13" spans="1:12" ht="18.75" x14ac:dyDescent="0.25">
      <c r="A13" s="6">
        <v>8</v>
      </c>
      <c r="B13" s="38" t="s">
        <v>148</v>
      </c>
      <c r="C13" s="41" t="s">
        <v>131</v>
      </c>
      <c r="D13" s="16" t="s">
        <v>33</v>
      </c>
      <c r="E13" s="12">
        <v>400</v>
      </c>
      <c r="F13" s="19">
        <v>0</v>
      </c>
      <c r="G13" s="26">
        <v>0</v>
      </c>
      <c r="H13" s="19">
        <f>Table16136[[#This Row],[Количина]]*Table16136[[#This Row],[Цена по ЈМ без ПДВ – а]]</f>
        <v>0</v>
      </c>
      <c r="I13" s="20">
        <f>Table16136[[#This Row],[Стопа ПДВ - а]]*Table16136[[#This Row],[Укупна цена без ПДВ - а]]</f>
        <v>0</v>
      </c>
      <c r="J13" s="19">
        <f>Table16136[[#This Row],[Укупна цена без ПДВ - а]]+Table16136[[#This Row],[Укупно ПДВ]]</f>
        <v>0</v>
      </c>
      <c r="K13" s="33"/>
      <c r="L13" s="34"/>
    </row>
    <row r="14" spans="1:12" ht="18.75" x14ac:dyDescent="0.25">
      <c r="A14" s="6">
        <v>9</v>
      </c>
      <c r="B14" s="38" t="s">
        <v>149</v>
      </c>
      <c r="C14" s="41" t="s">
        <v>131</v>
      </c>
      <c r="D14" s="16" t="s">
        <v>33</v>
      </c>
      <c r="E14" s="12">
        <v>200</v>
      </c>
      <c r="F14" s="19">
        <v>0</v>
      </c>
      <c r="G14" s="26">
        <v>0</v>
      </c>
      <c r="H14" s="19">
        <f>Table16136[[#This Row],[Количина]]*Table16136[[#This Row],[Цена по ЈМ без ПДВ – а]]</f>
        <v>0</v>
      </c>
      <c r="I14" s="20">
        <f>Table16136[[#This Row],[Стопа ПДВ - а]]*Table16136[[#This Row],[Укупна цена без ПДВ - а]]</f>
        <v>0</v>
      </c>
      <c r="J14" s="19">
        <f>Table16136[[#This Row],[Укупна цена без ПДВ - а]]+Table16136[[#This Row],[Укупно ПДВ]]</f>
        <v>0</v>
      </c>
      <c r="K14" s="33"/>
      <c r="L14" s="34"/>
    </row>
    <row r="15" spans="1:12" ht="18.75" x14ac:dyDescent="0.25">
      <c r="A15" s="6">
        <v>10</v>
      </c>
      <c r="B15" s="38" t="s">
        <v>150</v>
      </c>
      <c r="C15" s="41" t="s">
        <v>162</v>
      </c>
      <c r="D15" s="16" t="s">
        <v>4</v>
      </c>
      <c r="E15" s="12">
        <v>1000</v>
      </c>
      <c r="F15" s="19">
        <v>0</v>
      </c>
      <c r="G15" s="26">
        <v>0</v>
      </c>
      <c r="H15" s="19">
        <f>Table16136[[#This Row],[Количина]]*Table16136[[#This Row],[Цена по ЈМ без ПДВ – а]]</f>
        <v>0</v>
      </c>
      <c r="I15" s="20">
        <f>Table16136[[#This Row],[Стопа ПДВ - а]]*Table16136[[#This Row],[Укупна цена без ПДВ - а]]</f>
        <v>0</v>
      </c>
      <c r="J15" s="19">
        <f>Table16136[[#This Row],[Укупна цена без ПДВ - а]]+Table16136[[#This Row],[Укупно ПДВ]]</f>
        <v>0</v>
      </c>
      <c r="K15" s="33"/>
      <c r="L15" s="34"/>
    </row>
    <row r="16" spans="1:12" ht="18.75" x14ac:dyDescent="0.25">
      <c r="A16" s="6">
        <v>11</v>
      </c>
      <c r="B16" s="38" t="s">
        <v>151</v>
      </c>
      <c r="C16" s="41" t="s">
        <v>164</v>
      </c>
      <c r="D16" s="16" t="s">
        <v>4</v>
      </c>
      <c r="E16" s="12">
        <v>150</v>
      </c>
      <c r="F16" s="19">
        <v>0</v>
      </c>
      <c r="G16" s="26">
        <v>0</v>
      </c>
      <c r="H16" s="19">
        <f>Table16136[[#This Row],[Количина]]*Table16136[[#This Row],[Цена по ЈМ без ПДВ – а]]</f>
        <v>0</v>
      </c>
      <c r="I16" s="20">
        <f>Table16136[[#This Row],[Стопа ПДВ - а]]*Table16136[[#This Row],[Укупна цена без ПДВ - а]]</f>
        <v>0</v>
      </c>
      <c r="J16" s="19">
        <f>Table16136[[#This Row],[Укупна цена без ПДВ - а]]+Table16136[[#This Row],[Укупно ПДВ]]</f>
        <v>0</v>
      </c>
      <c r="K16" s="33"/>
      <c r="L16" s="34"/>
    </row>
    <row r="17" spans="1:12" ht="18.75" x14ac:dyDescent="0.25">
      <c r="A17" s="6">
        <v>12</v>
      </c>
      <c r="B17" s="38" t="s">
        <v>152</v>
      </c>
      <c r="C17" s="41" t="s">
        <v>162</v>
      </c>
      <c r="D17" s="16" t="s">
        <v>4</v>
      </c>
      <c r="E17" s="12">
        <v>50</v>
      </c>
      <c r="F17" s="19">
        <v>0</v>
      </c>
      <c r="G17" s="26">
        <v>0</v>
      </c>
      <c r="H17" s="19">
        <f>Table16136[[#This Row],[Количина]]*Table16136[[#This Row],[Цена по ЈМ без ПДВ – а]]</f>
        <v>0</v>
      </c>
      <c r="I17" s="20">
        <f>Table16136[[#This Row],[Стопа ПДВ - а]]*Table16136[[#This Row],[Укупна цена без ПДВ - а]]</f>
        <v>0</v>
      </c>
      <c r="J17" s="19">
        <f>Table16136[[#This Row],[Укупна цена без ПДВ - а]]+Table16136[[#This Row],[Укупно ПДВ]]</f>
        <v>0</v>
      </c>
      <c r="K17" s="33"/>
      <c r="L17" s="34"/>
    </row>
    <row r="18" spans="1:12" ht="18.75" x14ac:dyDescent="0.25">
      <c r="A18" s="6">
        <v>13</v>
      </c>
      <c r="B18" s="38" t="s">
        <v>153</v>
      </c>
      <c r="C18" s="41" t="s">
        <v>131</v>
      </c>
      <c r="D18" s="16" t="s">
        <v>33</v>
      </c>
      <c r="E18" s="12">
        <v>30</v>
      </c>
      <c r="F18" s="19">
        <v>0</v>
      </c>
      <c r="G18" s="26">
        <v>0</v>
      </c>
      <c r="H18" s="19">
        <f>Table16136[[#This Row],[Количина]]*Table16136[[#This Row],[Цена по ЈМ без ПДВ – а]]</f>
        <v>0</v>
      </c>
      <c r="I18" s="20">
        <f>Table16136[[#This Row],[Стопа ПДВ - а]]*Table16136[[#This Row],[Укупна цена без ПДВ - а]]</f>
        <v>0</v>
      </c>
      <c r="J18" s="19">
        <f>Table16136[[#This Row],[Укупна цена без ПДВ - а]]+Table16136[[#This Row],[Укупно ПДВ]]</f>
        <v>0</v>
      </c>
      <c r="K18" s="33"/>
      <c r="L18" s="34"/>
    </row>
    <row r="19" spans="1:12" ht="18.75" x14ac:dyDescent="0.25">
      <c r="A19" s="6">
        <v>14</v>
      </c>
      <c r="B19" s="38" t="s">
        <v>154</v>
      </c>
      <c r="C19" s="41" t="s">
        <v>131</v>
      </c>
      <c r="D19" s="16" t="s">
        <v>33</v>
      </c>
      <c r="E19" s="12">
        <v>500</v>
      </c>
      <c r="F19" s="19">
        <v>0</v>
      </c>
      <c r="G19" s="26">
        <v>0</v>
      </c>
      <c r="H19" s="19">
        <f>Table16136[[#This Row],[Количина]]*Table16136[[#This Row],[Цена по ЈМ без ПДВ – а]]</f>
        <v>0</v>
      </c>
      <c r="I19" s="20">
        <f>Table16136[[#This Row],[Стопа ПДВ - а]]*Table16136[[#This Row],[Укупна цена без ПДВ - а]]</f>
        <v>0</v>
      </c>
      <c r="J19" s="19">
        <f>Table16136[[#This Row],[Укупна цена без ПДВ - а]]+Table16136[[#This Row],[Укупно ПДВ]]</f>
        <v>0</v>
      </c>
      <c r="K19" s="33"/>
      <c r="L19" s="34"/>
    </row>
    <row r="20" spans="1:12" ht="18.75" x14ac:dyDescent="0.25">
      <c r="A20" s="6">
        <v>15</v>
      </c>
      <c r="B20" s="38" t="s">
        <v>155</v>
      </c>
      <c r="C20" s="41" t="s">
        <v>131</v>
      </c>
      <c r="D20" s="16" t="s">
        <v>33</v>
      </c>
      <c r="E20" s="12">
        <v>20</v>
      </c>
      <c r="F20" s="19">
        <v>0</v>
      </c>
      <c r="G20" s="26">
        <v>0</v>
      </c>
      <c r="H20" s="19">
        <f>Table16136[[#This Row],[Количина]]*Table16136[[#This Row],[Цена по ЈМ без ПДВ – а]]</f>
        <v>0</v>
      </c>
      <c r="I20" s="20">
        <f>Table16136[[#This Row],[Стопа ПДВ - а]]*Table16136[[#This Row],[Укупна цена без ПДВ - а]]</f>
        <v>0</v>
      </c>
      <c r="J20" s="19">
        <f>Table16136[[#This Row],[Укупна цена без ПДВ - а]]+Table16136[[#This Row],[Укупно ПДВ]]</f>
        <v>0</v>
      </c>
      <c r="K20" s="33"/>
      <c r="L20" s="34"/>
    </row>
    <row r="21" spans="1:12" ht="18.75" x14ac:dyDescent="0.25">
      <c r="A21" s="6">
        <v>16</v>
      </c>
      <c r="B21" s="38" t="s">
        <v>156</v>
      </c>
      <c r="C21" s="41" t="s">
        <v>131</v>
      </c>
      <c r="D21" s="16" t="s">
        <v>33</v>
      </c>
      <c r="E21" s="12">
        <v>250</v>
      </c>
      <c r="F21" s="19">
        <v>0</v>
      </c>
      <c r="G21" s="26">
        <v>0</v>
      </c>
      <c r="H21" s="19">
        <f>Table16136[[#This Row],[Количина]]*Table16136[[#This Row],[Цена по ЈМ без ПДВ – а]]</f>
        <v>0</v>
      </c>
      <c r="I21" s="20">
        <f>Table16136[[#This Row],[Стопа ПДВ - а]]*Table16136[[#This Row],[Укупна цена без ПДВ - а]]</f>
        <v>0</v>
      </c>
      <c r="J21" s="19">
        <f>Table16136[[#This Row],[Укупна цена без ПДВ - а]]+Table16136[[#This Row],[Укупно ПДВ]]</f>
        <v>0</v>
      </c>
      <c r="K21" s="33"/>
      <c r="L21" s="34"/>
    </row>
    <row r="22" spans="1:12" ht="18.75" x14ac:dyDescent="0.25">
      <c r="A22" s="6">
        <v>17</v>
      </c>
      <c r="B22" s="38" t="s">
        <v>157</v>
      </c>
      <c r="C22" s="41" t="s">
        <v>162</v>
      </c>
      <c r="D22" s="16" t="s">
        <v>4</v>
      </c>
      <c r="E22" s="12">
        <v>300</v>
      </c>
      <c r="F22" s="19">
        <v>0</v>
      </c>
      <c r="G22" s="26">
        <v>0</v>
      </c>
      <c r="H22" s="19">
        <f>Table16136[[#This Row],[Количина]]*Table16136[[#This Row],[Цена по ЈМ без ПДВ – а]]</f>
        <v>0</v>
      </c>
      <c r="I22" s="20">
        <f>Table16136[[#This Row],[Стопа ПДВ - а]]*Table16136[[#This Row],[Укупна цена без ПДВ - а]]</f>
        <v>0</v>
      </c>
      <c r="J22" s="19">
        <f>Table16136[[#This Row],[Укупна цена без ПДВ - а]]+Table16136[[#This Row],[Укупно ПДВ]]</f>
        <v>0</v>
      </c>
      <c r="K22" s="33"/>
      <c r="L22" s="34"/>
    </row>
    <row r="23" spans="1:12" ht="18.75" x14ac:dyDescent="0.25">
      <c r="A23" s="6">
        <v>18</v>
      </c>
      <c r="B23" s="38" t="s">
        <v>158</v>
      </c>
      <c r="C23" s="41" t="s">
        <v>131</v>
      </c>
      <c r="D23" s="16" t="s">
        <v>33</v>
      </c>
      <c r="E23" s="12">
        <v>40</v>
      </c>
      <c r="F23" s="19">
        <v>0</v>
      </c>
      <c r="G23" s="26">
        <v>0</v>
      </c>
      <c r="H23" s="19">
        <f>Table16136[[#This Row],[Количина]]*Table16136[[#This Row],[Цена по ЈМ без ПДВ – а]]</f>
        <v>0</v>
      </c>
      <c r="I23" s="20">
        <f>Table16136[[#This Row],[Стопа ПДВ - а]]*Table16136[[#This Row],[Укупна цена без ПДВ - а]]</f>
        <v>0</v>
      </c>
      <c r="J23" s="19">
        <f>Table16136[[#This Row],[Укупна цена без ПДВ - а]]+Table16136[[#This Row],[Укупно ПДВ]]</f>
        <v>0</v>
      </c>
      <c r="K23" s="33"/>
      <c r="L23" s="34"/>
    </row>
    <row r="24" spans="1:12" ht="18.75" x14ac:dyDescent="0.25">
      <c r="A24" s="6">
        <v>19</v>
      </c>
      <c r="B24" s="38" t="s">
        <v>159</v>
      </c>
      <c r="C24" s="41" t="s">
        <v>131</v>
      </c>
      <c r="D24" s="16" t="s">
        <v>33</v>
      </c>
      <c r="E24" s="12">
        <v>40</v>
      </c>
      <c r="F24" s="19">
        <v>0</v>
      </c>
      <c r="G24" s="26">
        <v>0</v>
      </c>
      <c r="H24" s="19">
        <f>Table16136[[#This Row],[Количина]]*Table16136[[#This Row],[Цена по ЈМ без ПДВ – а]]</f>
        <v>0</v>
      </c>
      <c r="I24" s="20">
        <f>Table16136[[#This Row],[Стопа ПДВ - а]]*Table16136[[#This Row],[Укупна цена без ПДВ - а]]</f>
        <v>0</v>
      </c>
      <c r="J24" s="19">
        <f>Table16136[[#This Row],[Укупна цена без ПДВ - а]]+Table16136[[#This Row],[Укупно ПДВ]]</f>
        <v>0</v>
      </c>
      <c r="K24" s="33"/>
      <c r="L24" s="34"/>
    </row>
    <row r="25" spans="1:12" ht="18.75" x14ac:dyDescent="0.25">
      <c r="A25" s="6">
        <v>20</v>
      </c>
      <c r="B25" s="38" t="s">
        <v>160</v>
      </c>
      <c r="C25" s="41" t="s">
        <v>131</v>
      </c>
      <c r="D25" s="16" t="s">
        <v>33</v>
      </c>
      <c r="E25" s="12">
        <v>40</v>
      </c>
      <c r="F25" s="19">
        <v>0</v>
      </c>
      <c r="G25" s="26">
        <v>0</v>
      </c>
      <c r="H25" s="19">
        <f>Table16136[[#This Row],[Количина]]*Table16136[[#This Row],[Цена по ЈМ без ПДВ – а]]</f>
        <v>0</v>
      </c>
      <c r="I25" s="20">
        <f>Table16136[[#This Row],[Стопа ПДВ - а]]*Table16136[[#This Row],[Укупна цена без ПДВ - а]]</f>
        <v>0</v>
      </c>
      <c r="J25" s="19">
        <f>Table16136[[#This Row],[Укупна цена без ПДВ - а]]+Table16136[[#This Row],[Укупно ПДВ]]</f>
        <v>0</v>
      </c>
      <c r="K25" s="33"/>
      <c r="L25" s="34"/>
    </row>
    <row r="26" spans="1:12" ht="38.25" thickBot="1" x14ac:dyDescent="0.3">
      <c r="A26" s="45">
        <v>21</v>
      </c>
      <c r="B26" s="46" t="s">
        <v>161</v>
      </c>
      <c r="C26" s="47" t="s">
        <v>163</v>
      </c>
      <c r="D26" s="29" t="s">
        <v>33</v>
      </c>
      <c r="E26" s="48">
        <v>100</v>
      </c>
      <c r="F26" s="49">
        <v>0</v>
      </c>
      <c r="G26" s="50">
        <v>0</v>
      </c>
      <c r="H26" s="49">
        <f>Table16136[[#This Row],[Количина]]*Table16136[[#This Row],[Цена по ЈМ без ПДВ – а]]</f>
        <v>0</v>
      </c>
      <c r="I26" s="51">
        <f>Table16136[[#This Row],[Стопа ПДВ - а]]*Table16136[[#This Row],[Укупна цена без ПДВ - а]]</f>
        <v>0</v>
      </c>
      <c r="J26" s="49">
        <f>Table16136[[#This Row],[Укупна цена без ПДВ - а]]+Table16136[[#This Row],[Укупно ПДВ]]</f>
        <v>0</v>
      </c>
      <c r="K26" s="52"/>
      <c r="L26" s="53"/>
    </row>
    <row r="27" spans="1:12" ht="15.75" thickBot="1" x14ac:dyDescent="0.3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</row>
    <row r="28" spans="1:12" ht="15" customHeight="1" x14ac:dyDescent="0.25">
      <c r="A28" s="131" t="s">
        <v>14</v>
      </c>
      <c r="B28" s="131"/>
      <c r="C28" s="131"/>
      <c r="D28" s="131"/>
      <c r="E28" s="131"/>
      <c r="F28" s="131"/>
      <c r="G28" s="134" t="s">
        <v>15</v>
      </c>
      <c r="H28" s="134"/>
      <c r="I28" s="134"/>
      <c r="J28" s="134" t="s">
        <v>16</v>
      </c>
      <c r="K28" s="134"/>
      <c r="L28" s="134"/>
    </row>
    <row r="29" spans="1:12" ht="15" customHeight="1" x14ac:dyDescent="0.25">
      <c r="A29" s="132"/>
      <c r="B29" s="132"/>
      <c r="C29" s="132"/>
      <c r="D29" s="132"/>
      <c r="E29" s="132"/>
      <c r="F29" s="132"/>
      <c r="G29" s="135">
        <f>SUM(Table16136[Укупна цена без ПДВ - а])</f>
        <v>0</v>
      </c>
      <c r="H29" s="135"/>
      <c r="I29" s="135"/>
      <c r="J29" s="135">
        <f>SUM(Table16136[Укупна цена са ПДВ - ом])</f>
        <v>0</v>
      </c>
      <c r="K29" s="135"/>
      <c r="L29" s="135"/>
    </row>
    <row r="30" spans="1:12" ht="15.75" customHeight="1" thickBot="1" x14ac:dyDescent="0.3">
      <c r="A30" s="133"/>
      <c r="B30" s="133"/>
      <c r="C30" s="133"/>
      <c r="D30" s="133"/>
      <c r="E30" s="133"/>
      <c r="F30" s="133"/>
      <c r="G30" s="136"/>
      <c r="H30" s="136"/>
      <c r="I30" s="136"/>
      <c r="J30" s="136"/>
      <c r="K30" s="136"/>
      <c r="L30" s="136"/>
    </row>
    <row r="31" spans="1:12" ht="15.75" thickBot="1" x14ac:dyDescent="0.3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</row>
    <row r="32" spans="1:12" ht="15.75" customHeight="1" thickTop="1" x14ac:dyDescent="0.25">
      <c r="A32" s="141" t="s">
        <v>24</v>
      </c>
      <c r="B32" s="141"/>
      <c r="C32" s="144"/>
      <c r="D32" s="144"/>
      <c r="E32" s="144"/>
      <c r="F32" s="144"/>
      <c r="G32" s="144"/>
      <c r="H32" s="144"/>
      <c r="I32" s="144"/>
      <c r="J32" s="144"/>
      <c r="K32" s="144"/>
      <c r="L32" s="144"/>
    </row>
    <row r="33" spans="1:12" ht="15" customHeight="1" x14ac:dyDescent="0.25">
      <c r="A33" s="142"/>
      <c r="B33" s="142"/>
      <c r="C33" s="145"/>
      <c r="D33" s="145"/>
      <c r="E33" s="145"/>
      <c r="F33" s="145"/>
      <c r="G33" s="145"/>
      <c r="H33" s="145"/>
      <c r="I33" s="145"/>
      <c r="J33" s="145"/>
      <c r="K33" s="145"/>
      <c r="L33" s="145"/>
    </row>
    <row r="34" spans="1:12" ht="15.75" customHeight="1" thickBot="1" x14ac:dyDescent="0.3">
      <c r="A34" s="143"/>
      <c r="B34" s="143"/>
      <c r="C34" s="146"/>
      <c r="D34" s="146"/>
      <c r="E34" s="146"/>
      <c r="F34" s="146"/>
      <c r="G34" s="146"/>
      <c r="H34" s="146"/>
      <c r="I34" s="146"/>
      <c r="J34" s="146"/>
      <c r="K34" s="146"/>
      <c r="L34" s="146"/>
    </row>
    <row r="35" spans="1:12" ht="15.75" thickTop="1" x14ac:dyDescent="0.25"/>
    <row r="36" spans="1:12" x14ac:dyDescent="0.25">
      <c r="J36" s="137" t="s">
        <v>18</v>
      </c>
      <c r="K36" s="137"/>
    </row>
    <row r="37" spans="1:12" x14ac:dyDescent="0.25">
      <c r="J37" s="137"/>
      <c r="K37" s="137"/>
    </row>
    <row r="38" spans="1:12" x14ac:dyDescent="0.25">
      <c r="J38" s="138"/>
      <c r="K38" s="138"/>
    </row>
    <row r="39" spans="1:12" ht="15.75" thickBot="1" x14ac:dyDescent="0.3">
      <c r="J39" s="109"/>
      <c r="K39" s="109"/>
    </row>
    <row r="40" spans="1:12" x14ac:dyDescent="0.25">
      <c r="J40" s="139" t="s">
        <v>17</v>
      </c>
      <c r="K40" s="139"/>
    </row>
    <row r="41" spans="1:12" x14ac:dyDescent="0.25">
      <c r="J41" s="140"/>
      <c r="K41" s="140"/>
    </row>
  </sheetData>
  <mergeCells count="16">
    <mergeCell ref="J40:K41"/>
    <mergeCell ref="A1:L1"/>
    <mergeCell ref="A2:F3"/>
    <mergeCell ref="G2:L3"/>
    <mergeCell ref="A4:L4"/>
    <mergeCell ref="A27:L27"/>
    <mergeCell ref="A28:F30"/>
    <mergeCell ref="G28:I28"/>
    <mergeCell ref="J28:L28"/>
    <mergeCell ref="G29:I30"/>
    <mergeCell ref="J29:L30"/>
    <mergeCell ref="A31:L31"/>
    <mergeCell ref="A32:B34"/>
    <mergeCell ref="C32:L34"/>
    <mergeCell ref="J36:K37"/>
    <mergeCell ref="J38:K39"/>
  </mergeCells>
  <pageMargins left="0.7" right="0.7" top="0.75" bottom="0.75" header="0.3" footer="0.3"/>
  <pageSetup scale="55" orientation="landscape" r:id="rId1"/>
  <drawing r:id="rId2"/>
  <tableParts count="1"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Normal="100" workbookViewId="0">
      <selection activeCell="K29" sqref="K29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15" customHeight="1" x14ac:dyDescent="0.25">
      <c r="A2" s="127" t="s">
        <v>13</v>
      </c>
      <c r="B2" s="127"/>
      <c r="C2" s="127"/>
      <c r="D2" s="127"/>
      <c r="E2" s="127"/>
      <c r="F2" s="127"/>
      <c r="G2" s="129" t="s">
        <v>165</v>
      </c>
      <c r="H2" s="129"/>
      <c r="I2" s="129"/>
      <c r="J2" s="129"/>
      <c r="K2" s="129"/>
      <c r="L2" s="129"/>
    </row>
    <row r="3" spans="1:12" ht="15.75" customHeight="1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45" x14ac:dyDescent="0.25">
      <c r="A6" s="5">
        <v>1</v>
      </c>
      <c r="B6" s="37" t="s">
        <v>166</v>
      </c>
      <c r="C6" s="40" t="s">
        <v>170</v>
      </c>
      <c r="D6" s="16" t="s">
        <v>33</v>
      </c>
      <c r="E6" s="11">
        <v>900</v>
      </c>
      <c r="F6" s="17">
        <v>0</v>
      </c>
      <c r="G6" s="25">
        <v>0</v>
      </c>
      <c r="H6" s="17">
        <f>Table16139[[#This Row],[Количина]]*Table16139[[#This Row],[Цена по ЈМ без ПДВ – а]]</f>
        <v>0</v>
      </c>
      <c r="I6" s="18">
        <f>Table16139[[#This Row],[Стопа ПДВ - а]]*Table16139[[#This Row],[Укупна цена без ПДВ - а]]</f>
        <v>0</v>
      </c>
      <c r="J6" s="17">
        <f>Table16139[[#This Row],[Укупна цена без ПДВ - а]]+Table16139[[#This Row],[Укупно ПДВ]]</f>
        <v>0</v>
      </c>
      <c r="K6" s="31"/>
      <c r="L6" s="32"/>
    </row>
    <row r="7" spans="1:12" ht="30" x14ac:dyDescent="0.25">
      <c r="A7" s="6">
        <v>2</v>
      </c>
      <c r="B7" s="38" t="s">
        <v>167</v>
      </c>
      <c r="C7" s="41" t="s">
        <v>171</v>
      </c>
      <c r="D7" s="16" t="s">
        <v>33</v>
      </c>
      <c r="E7" s="12">
        <v>1000</v>
      </c>
      <c r="F7" s="19">
        <v>0</v>
      </c>
      <c r="G7" s="26">
        <v>0</v>
      </c>
      <c r="H7" s="19">
        <f>Table16139[[#This Row],[Количина]]*Table16139[[#This Row],[Цена по ЈМ без ПДВ – а]]</f>
        <v>0</v>
      </c>
      <c r="I7" s="20">
        <f>Table16139[[#This Row],[Стопа ПДВ - а]]*Table16139[[#This Row],[Укупна цена без ПДВ - а]]</f>
        <v>0</v>
      </c>
      <c r="J7" s="19">
        <f>Table16139[[#This Row],[Укупна цена без ПДВ - а]]+Table16139[[#This Row],[Укупно ПДВ]]</f>
        <v>0</v>
      </c>
      <c r="K7" s="33"/>
      <c r="L7" s="34"/>
    </row>
    <row r="8" spans="1:12" ht="45" x14ac:dyDescent="0.25">
      <c r="A8" s="6">
        <v>3</v>
      </c>
      <c r="B8" s="38" t="s">
        <v>168</v>
      </c>
      <c r="C8" s="41" t="s">
        <v>172</v>
      </c>
      <c r="D8" s="16" t="s">
        <v>33</v>
      </c>
      <c r="E8" s="12">
        <v>850</v>
      </c>
      <c r="F8" s="19">
        <v>0</v>
      </c>
      <c r="G8" s="26">
        <v>0</v>
      </c>
      <c r="H8" s="19">
        <f>Table16139[[#This Row],[Количина]]*Table16139[[#This Row],[Цена по ЈМ без ПДВ – а]]</f>
        <v>0</v>
      </c>
      <c r="I8" s="20">
        <f>Table16139[[#This Row],[Стопа ПДВ - а]]*Table16139[[#This Row],[Укупна цена без ПДВ - а]]</f>
        <v>0</v>
      </c>
      <c r="J8" s="19">
        <f>Table16139[[#This Row],[Укупна цена без ПДВ - а]]+Table16139[[#This Row],[Укупно ПДВ]]</f>
        <v>0</v>
      </c>
      <c r="K8" s="33"/>
      <c r="L8" s="34"/>
    </row>
    <row r="9" spans="1:12" ht="30" x14ac:dyDescent="0.25">
      <c r="A9" s="6">
        <v>4</v>
      </c>
      <c r="B9" s="38" t="s">
        <v>169</v>
      </c>
      <c r="C9" s="41" t="s">
        <v>173</v>
      </c>
      <c r="D9" s="16" t="s">
        <v>33</v>
      </c>
      <c r="E9" s="12">
        <v>850</v>
      </c>
      <c r="F9" s="19">
        <v>0</v>
      </c>
      <c r="G9" s="26">
        <v>0</v>
      </c>
      <c r="H9" s="19">
        <f>Table16139[[#This Row],[Количина]]*Table16139[[#This Row],[Цена по ЈМ без ПДВ – а]]</f>
        <v>0</v>
      </c>
      <c r="I9" s="20">
        <f>Table16139[[#This Row],[Стопа ПДВ - а]]*Table16139[[#This Row],[Укупна цена без ПДВ - а]]</f>
        <v>0</v>
      </c>
      <c r="J9" s="19">
        <f>Table16139[[#This Row],[Укупна цена без ПДВ - а]]+Table16139[[#This Row],[Укупно ПДВ]]</f>
        <v>0</v>
      </c>
      <c r="K9" s="33"/>
      <c r="L9" s="34"/>
    </row>
    <row r="10" spans="1:12" ht="30.75" thickBot="1" x14ac:dyDescent="0.3">
      <c r="A10" s="8">
        <v>5</v>
      </c>
      <c r="B10" s="42" t="s">
        <v>141</v>
      </c>
      <c r="C10" s="44" t="s">
        <v>174</v>
      </c>
      <c r="D10" s="64" t="s">
        <v>33</v>
      </c>
      <c r="E10" s="14">
        <v>800</v>
      </c>
      <c r="F10" s="23">
        <v>0</v>
      </c>
      <c r="G10" s="28">
        <v>0</v>
      </c>
      <c r="H10" s="23">
        <f>Table16139[[#This Row],[Количина]]*Table16139[[#This Row],[Цена по ЈМ без ПДВ – а]]</f>
        <v>0</v>
      </c>
      <c r="I10" s="24">
        <f>Table16139[[#This Row],[Стопа ПДВ - а]]*Table16139[[#This Row],[Укупна цена без ПДВ - а]]</f>
        <v>0</v>
      </c>
      <c r="J10" s="23">
        <f>Table16139[[#This Row],[Укупна цена без ПДВ - а]]+Table16139[[#This Row],[Укупно ПДВ]]</f>
        <v>0</v>
      </c>
      <c r="K10" s="65"/>
      <c r="L10" s="66"/>
    </row>
    <row r="11" spans="1:12" ht="15.75" thickBot="1" x14ac:dyDescent="0.3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</row>
    <row r="12" spans="1:12" ht="15" customHeight="1" x14ac:dyDescent="0.25">
      <c r="A12" s="131" t="s">
        <v>14</v>
      </c>
      <c r="B12" s="131"/>
      <c r="C12" s="131"/>
      <c r="D12" s="131"/>
      <c r="E12" s="131"/>
      <c r="F12" s="131"/>
      <c r="G12" s="134" t="s">
        <v>15</v>
      </c>
      <c r="H12" s="134"/>
      <c r="I12" s="134"/>
      <c r="J12" s="134" t="s">
        <v>16</v>
      </c>
      <c r="K12" s="134"/>
      <c r="L12" s="134"/>
    </row>
    <row r="13" spans="1:12" ht="15" customHeight="1" x14ac:dyDescent="0.25">
      <c r="A13" s="132"/>
      <c r="B13" s="132"/>
      <c r="C13" s="132"/>
      <c r="D13" s="132"/>
      <c r="E13" s="132"/>
      <c r="F13" s="132"/>
      <c r="G13" s="135">
        <f>SUM(Table16139[Укупна цена без ПДВ - а])</f>
        <v>0</v>
      </c>
      <c r="H13" s="135"/>
      <c r="I13" s="135"/>
      <c r="J13" s="135">
        <f>SUM(Table16139[Укупна цена са ПДВ - ом])</f>
        <v>0</v>
      </c>
      <c r="K13" s="135"/>
      <c r="L13" s="135"/>
    </row>
    <row r="14" spans="1:12" ht="15.75" customHeight="1" thickBot="1" x14ac:dyDescent="0.3">
      <c r="A14" s="133"/>
      <c r="B14" s="133"/>
      <c r="C14" s="133"/>
      <c r="D14" s="133"/>
      <c r="E14" s="133"/>
      <c r="F14" s="133"/>
      <c r="G14" s="136"/>
      <c r="H14" s="136"/>
      <c r="I14" s="136"/>
      <c r="J14" s="136"/>
      <c r="K14" s="136"/>
      <c r="L14" s="136"/>
    </row>
    <row r="15" spans="1:12" ht="15.75" thickBot="1" x14ac:dyDescent="0.3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</row>
    <row r="16" spans="1:12" ht="15.75" customHeight="1" thickTop="1" x14ac:dyDescent="0.25">
      <c r="A16" s="141" t="s">
        <v>24</v>
      </c>
      <c r="B16" s="141"/>
      <c r="C16" s="144" t="s">
        <v>69</v>
      </c>
      <c r="D16" s="144"/>
      <c r="E16" s="144"/>
      <c r="F16" s="144"/>
      <c r="G16" s="144"/>
      <c r="H16" s="144"/>
      <c r="I16" s="144"/>
      <c r="J16" s="144"/>
      <c r="K16" s="144"/>
      <c r="L16" s="144"/>
    </row>
    <row r="17" spans="1:12" ht="15" customHeight="1" x14ac:dyDescent="0.25">
      <c r="A17" s="142"/>
      <c r="B17" s="142"/>
      <c r="C17" s="145"/>
      <c r="D17" s="145"/>
      <c r="E17" s="145"/>
      <c r="F17" s="145"/>
      <c r="G17" s="145"/>
      <c r="H17" s="145"/>
      <c r="I17" s="145"/>
      <c r="J17" s="145"/>
      <c r="K17" s="145"/>
      <c r="L17" s="145"/>
    </row>
    <row r="18" spans="1:12" ht="15.75" customHeight="1" thickBot="1" x14ac:dyDescent="0.3">
      <c r="A18" s="143"/>
      <c r="B18" s="143"/>
      <c r="C18" s="146"/>
      <c r="D18" s="146"/>
      <c r="E18" s="146"/>
      <c r="F18" s="146"/>
      <c r="G18" s="146"/>
      <c r="H18" s="146"/>
      <c r="I18" s="146"/>
      <c r="J18" s="146"/>
      <c r="K18" s="146"/>
      <c r="L18" s="146"/>
    </row>
    <row r="19" spans="1:12" ht="15.75" thickTop="1" x14ac:dyDescent="0.25"/>
    <row r="20" spans="1:12" x14ac:dyDescent="0.25">
      <c r="J20" s="137" t="s">
        <v>18</v>
      </c>
      <c r="K20" s="137"/>
    </row>
    <row r="21" spans="1:12" x14ac:dyDescent="0.25">
      <c r="J21" s="137"/>
      <c r="K21" s="137"/>
    </row>
    <row r="22" spans="1:12" x14ac:dyDescent="0.25">
      <c r="J22" s="138"/>
      <c r="K22" s="138"/>
    </row>
    <row r="23" spans="1:12" ht="15.75" thickBot="1" x14ac:dyDescent="0.3">
      <c r="J23" s="109"/>
      <c r="K23" s="109"/>
    </row>
    <row r="24" spans="1:12" x14ac:dyDescent="0.25">
      <c r="J24" s="139" t="s">
        <v>17</v>
      </c>
      <c r="K24" s="139"/>
    </row>
    <row r="25" spans="1:12" x14ac:dyDescent="0.25">
      <c r="J25" s="140"/>
      <c r="K25" s="140"/>
    </row>
  </sheetData>
  <mergeCells count="16">
    <mergeCell ref="J24:K25"/>
    <mergeCell ref="A1:L1"/>
    <mergeCell ref="A2:F3"/>
    <mergeCell ref="G2:L3"/>
    <mergeCell ref="A4:L4"/>
    <mergeCell ref="A11:L11"/>
    <mergeCell ref="A12:F14"/>
    <mergeCell ref="G12:I12"/>
    <mergeCell ref="J12:L12"/>
    <mergeCell ref="G13:I14"/>
    <mergeCell ref="J13:L14"/>
    <mergeCell ref="A15:L15"/>
    <mergeCell ref="A16:B18"/>
    <mergeCell ref="C16:L18"/>
    <mergeCell ref="J20:K21"/>
    <mergeCell ref="J22:K23"/>
  </mergeCells>
  <pageMargins left="0.7" right="0.7" top="0.75" bottom="0.75" header="0.3" footer="0.3"/>
  <pageSetup scale="58" orientation="landscape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L27" sqref="L27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15" customHeight="1" x14ac:dyDescent="0.25">
      <c r="A2" s="127" t="s">
        <v>13</v>
      </c>
      <c r="B2" s="127"/>
      <c r="C2" s="127"/>
      <c r="D2" s="127"/>
      <c r="E2" s="127"/>
      <c r="F2" s="127"/>
      <c r="G2" s="129" t="s">
        <v>175</v>
      </c>
      <c r="H2" s="129"/>
      <c r="I2" s="129"/>
      <c r="J2" s="129"/>
      <c r="K2" s="129"/>
      <c r="L2" s="129"/>
    </row>
    <row r="3" spans="1:12" ht="15.75" customHeight="1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18.75" x14ac:dyDescent="0.25">
      <c r="A6" s="5">
        <v>1</v>
      </c>
      <c r="B6" s="37" t="s">
        <v>147</v>
      </c>
      <c r="C6" s="40" t="s">
        <v>182</v>
      </c>
      <c r="D6" s="16" t="s">
        <v>33</v>
      </c>
      <c r="E6" s="11">
        <v>300</v>
      </c>
      <c r="F6" s="17">
        <v>0</v>
      </c>
      <c r="G6" s="25">
        <v>0</v>
      </c>
      <c r="H6" s="17">
        <f>Table161310[[#This Row],[Количина]]*Table161310[[#This Row],[Цена по ЈМ без ПДВ – а]]</f>
        <v>0</v>
      </c>
      <c r="I6" s="18">
        <f>Table161310[[#This Row],[Стопа ПДВ - а]]*Table161310[[#This Row],[Укупна цена без ПДВ - а]]</f>
        <v>0</v>
      </c>
      <c r="J6" s="17">
        <f>Table161310[[#This Row],[Укупна цена без ПДВ - а]]+Table161310[[#This Row],[Укупно ПДВ]]</f>
        <v>0</v>
      </c>
      <c r="K6" s="31"/>
      <c r="L6" s="32"/>
    </row>
    <row r="7" spans="1:12" ht="30" x14ac:dyDescent="0.25">
      <c r="A7" s="6">
        <v>2</v>
      </c>
      <c r="B7" s="38" t="s">
        <v>146</v>
      </c>
      <c r="C7" s="41" t="s">
        <v>183</v>
      </c>
      <c r="D7" s="16" t="s">
        <v>33</v>
      </c>
      <c r="E7" s="12">
        <v>500</v>
      </c>
      <c r="F7" s="19">
        <v>0</v>
      </c>
      <c r="G7" s="26">
        <v>0</v>
      </c>
      <c r="H7" s="19">
        <f>Table161310[[#This Row],[Количина]]*Table161310[[#This Row],[Цена по ЈМ без ПДВ – а]]</f>
        <v>0</v>
      </c>
      <c r="I7" s="20">
        <f>Table161310[[#This Row],[Стопа ПДВ - а]]*Table161310[[#This Row],[Укупна цена без ПДВ - а]]</f>
        <v>0</v>
      </c>
      <c r="J7" s="19">
        <f>Table161310[[#This Row],[Укупна цена без ПДВ - а]]+Table161310[[#This Row],[Укупно ПДВ]]</f>
        <v>0</v>
      </c>
      <c r="K7" s="33"/>
      <c r="L7" s="34"/>
    </row>
    <row r="8" spans="1:12" ht="30" x14ac:dyDescent="0.25">
      <c r="A8" s="6">
        <v>3</v>
      </c>
      <c r="B8" s="38" t="s">
        <v>176</v>
      </c>
      <c r="C8" s="41" t="s">
        <v>184</v>
      </c>
      <c r="D8" s="16" t="s">
        <v>33</v>
      </c>
      <c r="E8" s="12">
        <v>500</v>
      </c>
      <c r="F8" s="19">
        <v>0</v>
      </c>
      <c r="G8" s="26">
        <v>0</v>
      </c>
      <c r="H8" s="19">
        <f>Table161310[[#This Row],[Количина]]*Table161310[[#This Row],[Цена по ЈМ без ПДВ – а]]</f>
        <v>0</v>
      </c>
      <c r="I8" s="20">
        <f>Table161310[[#This Row],[Стопа ПДВ - а]]*Table161310[[#This Row],[Укупна цена без ПДВ - а]]</f>
        <v>0</v>
      </c>
      <c r="J8" s="19">
        <f>Table161310[[#This Row],[Укупна цена без ПДВ - а]]+Table161310[[#This Row],[Укупно ПДВ]]</f>
        <v>0</v>
      </c>
      <c r="K8" s="33"/>
      <c r="L8" s="34"/>
    </row>
    <row r="9" spans="1:12" ht="30" x14ac:dyDescent="0.25">
      <c r="A9" s="6">
        <v>4</v>
      </c>
      <c r="B9" s="38" t="s">
        <v>177</v>
      </c>
      <c r="C9" s="41" t="s">
        <v>185</v>
      </c>
      <c r="D9" s="16" t="s">
        <v>33</v>
      </c>
      <c r="E9" s="12">
        <v>50</v>
      </c>
      <c r="F9" s="19">
        <v>0</v>
      </c>
      <c r="G9" s="26">
        <v>0</v>
      </c>
      <c r="H9" s="19">
        <f>Table161310[[#This Row],[Количина]]*Table161310[[#This Row],[Цена по ЈМ без ПДВ – а]]</f>
        <v>0</v>
      </c>
      <c r="I9" s="20">
        <f>Table161310[[#This Row],[Стопа ПДВ - а]]*Table161310[[#This Row],[Укупна цена без ПДВ - а]]</f>
        <v>0</v>
      </c>
      <c r="J9" s="19">
        <f>Table161310[[#This Row],[Укупна цена без ПДВ - а]]+Table161310[[#This Row],[Укупно ПДВ]]</f>
        <v>0</v>
      </c>
      <c r="K9" s="33"/>
      <c r="L9" s="34"/>
    </row>
    <row r="10" spans="1:12" ht="45" x14ac:dyDescent="0.25">
      <c r="A10" s="6">
        <v>5</v>
      </c>
      <c r="B10" s="38" t="s">
        <v>178</v>
      </c>
      <c r="C10" s="41" t="s">
        <v>187</v>
      </c>
      <c r="D10" s="16" t="s">
        <v>33</v>
      </c>
      <c r="E10" s="12">
        <v>1500</v>
      </c>
      <c r="F10" s="19">
        <v>0</v>
      </c>
      <c r="G10" s="26">
        <v>0</v>
      </c>
      <c r="H10" s="19">
        <f>Table161310[[#This Row],[Количина]]*Table161310[[#This Row],[Цена по ЈМ без ПДВ – а]]</f>
        <v>0</v>
      </c>
      <c r="I10" s="20">
        <f>Table161310[[#This Row],[Стопа ПДВ - а]]*Table161310[[#This Row],[Укупна цена без ПДВ - а]]</f>
        <v>0</v>
      </c>
      <c r="J10" s="19">
        <f>Table161310[[#This Row],[Укупна цена без ПДВ - а]]+Table161310[[#This Row],[Укупно ПДВ]]</f>
        <v>0</v>
      </c>
      <c r="K10" s="33"/>
      <c r="L10" s="34"/>
    </row>
    <row r="11" spans="1:12" ht="18.75" x14ac:dyDescent="0.25">
      <c r="A11" s="6">
        <v>6</v>
      </c>
      <c r="B11" s="38" t="s">
        <v>179</v>
      </c>
      <c r="C11" s="41" t="s">
        <v>186</v>
      </c>
      <c r="D11" s="16" t="s">
        <v>33</v>
      </c>
      <c r="E11" s="12">
        <v>200</v>
      </c>
      <c r="F11" s="19">
        <v>0</v>
      </c>
      <c r="G11" s="26">
        <v>0</v>
      </c>
      <c r="H11" s="19">
        <f>Table161310[[#This Row],[Количина]]*Table161310[[#This Row],[Цена по ЈМ без ПДВ – а]]</f>
        <v>0</v>
      </c>
      <c r="I11" s="20">
        <f>Table161310[[#This Row],[Стопа ПДВ - а]]*Table161310[[#This Row],[Укупна цена без ПДВ - а]]</f>
        <v>0</v>
      </c>
      <c r="J11" s="19">
        <f>Table161310[[#This Row],[Укупна цена без ПДВ - а]]+Table161310[[#This Row],[Укупно ПДВ]]</f>
        <v>0</v>
      </c>
      <c r="K11" s="33"/>
      <c r="L11" s="34"/>
    </row>
    <row r="12" spans="1:12" ht="18.75" x14ac:dyDescent="0.25">
      <c r="A12" s="6">
        <v>7</v>
      </c>
      <c r="B12" s="38" t="s">
        <v>180</v>
      </c>
      <c r="C12" s="41" t="s">
        <v>186</v>
      </c>
      <c r="D12" s="16" t="s">
        <v>33</v>
      </c>
      <c r="E12" s="12">
        <v>100</v>
      </c>
      <c r="F12" s="19">
        <v>0</v>
      </c>
      <c r="G12" s="26">
        <v>0</v>
      </c>
      <c r="H12" s="19">
        <f>Table161310[[#This Row],[Количина]]*Table161310[[#This Row],[Цена по ЈМ без ПДВ – а]]</f>
        <v>0</v>
      </c>
      <c r="I12" s="20">
        <f>Table161310[[#This Row],[Стопа ПДВ - а]]*Table161310[[#This Row],[Укупна цена без ПДВ - а]]</f>
        <v>0</v>
      </c>
      <c r="J12" s="19">
        <f>Table161310[[#This Row],[Укупна цена без ПДВ - а]]+Table161310[[#This Row],[Укупно ПДВ]]</f>
        <v>0</v>
      </c>
      <c r="K12" s="33"/>
      <c r="L12" s="34"/>
    </row>
    <row r="13" spans="1:12" ht="19.5" thickBot="1" x14ac:dyDescent="0.3">
      <c r="A13" s="45">
        <v>8</v>
      </c>
      <c r="B13" s="46" t="s">
        <v>181</v>
      </c>
      <c r="C13" s="47" t="s">
        <v>188</v>
      </c>
      <c r="D13" s="29" t="s">
        <v>33</v>
      </c>
      <c r="E13" s="48">
        <v>20</v>
      </c>
      <c r="F13" s="49">
        <v>0</v>
      </c>
      <c r="G13" s="50">
        <v>0</v>
      </c>
      <c r="H13" s="49">
        <f>Table161310[[#This Row],[Количина]]*Table161310[[#This Row],[Цена по ЈМ без ПДВ – а]]</f>
        <v>0</v>
      </c>
      <c r="I13" s="51">
        <f>Table161310[[#This Row],[Стопа ПДВ - а]]*Table161310[[#This Row],[Укупна цена без ПДВ - а]]</f>
        <v>0</v>
      </c>
      <c r="J13" s="49">
        <f>Table161310[[#This Row],[Укупна цена без ПДВ - а]]+Table161310[[#This Row],[Укупно ПДВ]]</f>
        <v>0</v>
      </c>
      <c r="K13" s="52"/>
      <c r="L13" s="53"/>
    </row>
    <row r="14" spans="1:12" ht="15.75" thickBot="1" x14ac:dyDescent="0.3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</row>
    <row r="15" spans="1:12" ht="15" customHeight="1" x14ac:dyDescent="0.25">
      <c r="A15" s="131" t="s">
        <v>14</v>
      </c>
      <c r="B15" s="131"/>
      <c r="C15" s="131"/>
      <c r="D15" s="131"/>
      <c r="E15" s="131"/>
      <c r="F15" s="131"/>
      <c r="G15" s="134" t="s">
        <v>15</v>
      </c>
      <c r="H15" s="134"/>
      <c r="I15" s="134"/>
      <c r="J15" s="134" t="s">
        <v>16</v>
      </c>
      <c r="K15" s="134"/>
      <c r="L15" s="134"/>
    </row>
    <row r="16" spans="1:12" ht="15" customHeight="1" x14ac:dyDescent="0.25">
      <c r="A16" s="132"/>
      <c r="B16" s="132"/>
      <c r="C16" s="132"/>
      <c r="D16" s="132"/>
      <c r="E16" s="132"/>
      <c r="F16" s="132"/>
      <c r="G16" s="135">
        <f>SUM(Table161310[Укупна цена без ПДВ - а])</f>
        <v>0</v>
      </c>
      <c r="H16" s="135"/>
      <c r="I16" s="135"/>
      <c r="J16" s="135">
        <f>SUM(Table161310[Укупна цена са ПДВ - ом])</f>
        <v>0</v>
      </c>
      <c r="K16" s="135"/>
      <c r="L16" s="135"/>
    </row>
    <row r="17" spans="1:12" ht="15.75" customHeight="1" thickBot="1" x14ac:dyDescent="0.3">
      <c r="A17" s="133"/>
      <c r="B17" s="133"/>
      <c r="C17" s="133"/>
      <c r="D17" s="133"/>
      <c r="E17" s="133"/>
      <c r="F17" s="133"/>
      <c r="G17" s="136"/>
      <c r="H17" s="136"/>
      <c r="I17" s="136"/>
      <c r="J17" s="136"/>
      <c r="K17" s="136"/>
      <c r="L17" s="136"/>
    </row>
    <row r="18" spans="1:12" ht="15.75" thickBot="1" x14ac:dyDescent="0.3">
      <c r="A18" s="126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</row>
    <row r="19" spans="1:12" ht="15.75" customHeight="1" thickTop="1" x14ac:dyDescent="0.25">
      <c r="A19" s="141" t="s">
        <v>24</v>
      </c>
      <c r="B19" s="141"/>
      <c r="C19" s="147" t="s">
        <v>189</v>
      </c>
      <c r="D19" s="147"/>
      <c r="E19" s="147"/>
      <c r="F19" s="147"/>
      <c r="G19" s="147"/>
      <c r="H19" s="147"/>
      <c r="I19" s="147"/>
      <c r="J19" s="147"/>
      <c r="K19" s="147"/>
      <c r="L19" s="147"/>
    </row>
    <row r="20" spans="1:12" ht="15" customHeight="1" x14ac:dyDescent="0.25">
      <c r="A20" s="142"/>
      <c r="B20" s="142"/>
      <c r="C20" s="148"/>
      <c r="D20" s="148"/>
      <c r="E20" s="148"/>
      <c r="F20" s="148"/>
      <c r="G20" s="148"/>
      <c r="H20" s="148"/>
      <c r="I20" s="148"/>
      <c r="J20" s="148"/>
      <c r="K20" s="148"/>
      <c r="L20" s="148"/>
    </row>
    <row r="21" spans="1:12" ht="15.75" customHeight="1" thickBot="1" x14ac:dyDescent="0.3">
      <c r="A21" s="143"/>
      <c r="B21" s="143"/>
      <c r="C21" s="149"/>
      <c r="D21" s="149"/>
      <c r="E21" s="149"/>
      <c r="F21" s="149"/>
      <c r="G21" s="149"/>
      <c r="H21" s="149"/>
      <c r="I21" s="149"/>
      <c r="J21" s="149"/>
      <c r="K21" s="149"/>
      <c r="L21" s="149"/>
    </row>
    <row r="22" spans="1:12" ht="15.75" thickTop="1" x14ac:dyDescent="0.25"/>
    <row r="23" spans="1:12" x14ac:dyDescent="0.25">
      <c r="J23" s="137" t="s">
        <v>18</v>
      </c>
      <c r="K23" s="137"/>
    </row>
    <row r="24" spans="1:12" x14ac:dyDescent="0.25">
      <c r="J24" s="137"/>
      <c r="K24" s="137"/>
    </row>
    <row r="25" spans="1:12" x14ac:dyDescent="0.25">
      <c r="J25" s="138"/>
      <c r="K25" s="138"/>
    </row>
    <row r="26" spans="1:12" ht="15.75" thickBot="1" x14ac:dyDescent="0.3">
      <c r="J26" s="109"/>
      <c r="K26" s="109"/>
    </row>
    <row r="27" spans="1:12" x14ac:dyDescent="0.25">
      <c r="J27" s="139" t="s">
        <v>17</v>
      </c>
      <c r="K27" s="139"/>
    </row>
    <row r="28" spans="1:12" x14ac:dyDescent="0.25">
      <c r="J28" s="140"/>
      <c r="K28" s="140"/>
    </row>
  </sheetData>
  <mergeCells count="16">
    <mergeCell ref="J27:K28"/>
    <mergeCell ref="A1:L1"/>
    <mergeCell ref="A2:F3"/>
    <mergeCell ref="G2:L3"/>
    <mergeCell ref="A4:L4"/>
    <mergeCell ref="A14:L14"/>
    <mergeCell ref="A15:F17"/>
    <mergeCell ref="G15:I15"/>
    <mergeCell ref="J15:L15"/>
    <mergeCell ref="G16:I17"/>
    <mergeCell ref="J16:L17"/>
    <mergeCell ref="A18:L18"/>
    <mergeCell ref="A19:B21"/>
    <mergeCell ref="C19:L21"/>
    <mergeCell ref="J23:K24"/>
    <mergeCell ref="J25:K26"/>
  </mergeCells>
  <pageMargins left="0.7" right="0.7" top="0.75" bottom="0.75" header="0.3" footer="0.3"/>
  <pageSetup scale="58" orientation="landscape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>
      <selection activeCell="K26" sqref="K26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15" customHeight="1" x14ac:dyDescent="0.25">
      <c r="A2" s="127" t="s">
        <v>13</v>
      </c>
      <c r="B2" s="127"/>
      <c r="C2" s="127"/>
      <c r="D2" s="127"/>
      <c r="E2" s="127"/>
      <c r="F2" s="127"/>
      <c r="G2" s="129" t="s">
        <v>190</v>
      </c>
      <c r="H2" s="129"/>
      <c r="I2" s="129"/>
      <c r="J2" s="129"/>
      <c r="K2" s="129"/>
      <c r="L2" s="129"/>
    </row>
    <row r="3" spans="1:12" ht="15.75" customHeight="1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19.5" thickBot="1" x14ac:dyDescent="0.3">
      <c r="A6" s="54">
        <v>1</v>
      </c>
      <c r="B6" s="55" t="s">
        <v>191</v>
      </c>
      <c r="C6" s="56" t="s">
        <v>131</v>
      </c>
      <c r="D6" s="57" t="s">
        <v>33</v>
      </c>
      <c r="E6" s="58">
        <v>300</v>
      </c>
      <c r="F6" s="59">
        <v>0</v>
      </c>
      <c r="G6" s="60">
        <v>0</v>
      </c>
      <c r="H6" s="59">
        <f>Table161311[[#This Row],[Количина]]*Table161311[[#This Row],[Цена по ЈМ без ПДВ – а]]</f>
        <v>0</v>
      </c>
      <c r="I6" s="61">
        <f>Table161311[[#This Row],[Стопа ПДВ - а]]*Table161311[[#This Row],[Укупна цена без ПДВ - а]]</f>
        <v>0</v>
      </c>
      <c r="J6" s="59">
        <f>Table161311[[#This Row],[Укупна цена без ПДВ - а]]+Table161311[[#This Row],[Укупно ПДВ]]</f>
        <v>0</v>
      </c>
      <c r="K6" s="62"/>
      <c r="L6" s="63"/>
    </row>
    <row r="7" spans="1:12" ht="15.75" thickBot="1" x14ac:dyDescent="0.3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spans="1:12" ht="15" customHeight="1" x14ac:dyDescent="0.25">
      <c r="A8" s="131" t="s">
        <v>14</v>
      </c>
      <c r="B8" s="131"/>
      <c r="C8" s="131"/>
      <c r="D8" s="131"/>
      <c r="E8" s="131"/>
      <c r="F8" s="131"/>
      <c r="G8" s="134" t="s">
        <v>15</v>
      </c>
      <c r="H8" s="134"/>
      <c r="I8" s="134"/>
      <c r="J8" s="134" t="s">
        <v>16</v>
      </c>
      <c r="K8" s="134"/>
      <c r="L8" s="134"/>
    </row>
    <row r="9" spans="1:12" ht="15" customHeight="1" x14ac:dyDescent="0.25">
      <c r="A9" s="132"/>
      <c r="B9" s="132"/>
      <c r="C9" s="132"/>
      <c r="D9" s="132"/>
      <c r="E9" s="132"/>
      <c r="F9" s="132"/>
      <c r="G9" s="135">
        <f>SUM(Table161311[Укупна цена без ПДВ - а])</f>
        <v>0</v>
      </c>
      <c r="H9" s="135"/>
      <c r="I9" s="135"/>
      <c r="J9" s="135">
        <f>SUM(Table161311[Укупна цена са ПДВ - ом])</f>
        <v>0</v>
      </c>
      <c r="K9" s="135"/>
      <c r="L9" s="135"/>
    </row>
    <row r="10" spans="1:12" ht="15.75" customHeight="1" thickBot="1" x14ac:dyDescent="0.3">
      <c r="A10" s="133"/>
      <c r="B10" s="133"/>
      <c r="C10" s="133"/>
      <c r="D10" s="133"/>
      <c r="E10" s="133"/>
      <c r="F10" s="133"/>
      <c r="G10" s="136"/>
      <c r="H10" s="136"/>
      <c r="I10" s="136"/>
      <c r="J10" s="136"/>
      <c r="K10" s="136"/>
      <c r="L10" s="136"/>
    </row>
    <row r="11" spans="1:12" ht="15.75" thickBot="1" x14ac:dyDescent="0.3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</row>
    <row r="12" spans="1:12" ht="15.75" customHeight="1" thickTop="1" x14ac:dyDescent="0.25">
      <c r="A12" s="141" t="s">
        <v>24</v>
      </c>
      <c r="B12" s="141"/>
      <c r="C12" s="144"/>
      <c r="D12" s="144"/>
      <c r="E12" s="144"/>
      <c r="F12" s="144"/>
      <c r="G12" s="144"/>
      <c r="H12" s="144"/>
      <c r="I12" s="144"/>
      <c r="J12" s="144"/>
      <c r="K12" s="144"/>
      <c r="L12" s="144"/>
    </row>
    <row r="13" spans="1:12" ht="15" customHeight="1" x14ac:dyDescent="0.25">
      <c r="A13" s="142"/>
      <c r="B13" s="142"/>
      <c r="C13" s="145"/>
      <c r="D13" s="145"/>
      <c r="E13" s="145"/>
      <c r="F13" s="145"/>
      <c r="G13" s="145"/>
      <c r="H13" s="145"/>
      <c r="I13" s="145"/>
      <c r="J13" s="145"/>
      <c r="K13" s="145"/>
      <c r="L13" s="145"/>
    </row>
    <row r="14" spans="1:12" ht="15.75" customHeight="1" thickBot="1" x14ac:dyDescent="0.3">
      <c r="A14" s="143"/>
      <c r="B14" s="143"/>
      <c r="C14" s="146"/>
      <c r="D14" s="146"/>
      <c r="E14" s="146"/>
      <c r="F14" s="146"/>
      <c r="G14" s="146"/>
      <c r="H14" s="146"/>
      <c r="I14" s="146"/>
      <c r="J14" s="146"/>
      <c r="K14" s="146"/>
      <c r="L14" s="146"/>
    </row>
    <row r="15" spans="1:12" ht="15.75" thickTop="1" x14ac:dyDescent="0.25"/>
    <row r="16" spans="1:12" x14ac:dyDescent="0.25">
      <c r="J16" s="137" t="s">
        <v>18</v>
      </c>
      <c r="K16" s="137"/>
    </row>
    <row r="17" spans="10:11" x14ac:dyDescent="0.25">
      <c r="J17" s="137"/>
      <c r="K17" s="137"/>
    </row>
    <row r="18" spans="10:11" x14ac:dyDescent="0.25">
      <c r="J18" s="138"/>
      <c r="K18" s="138"/>
    </row>
    <row r="19" spans="10:11" ht="15.75" thickBot="1" x14ac:dyDescent="0.3">
      <c r="J19" s="109"/>
      <c r="K19" s="109"/>
    </row>
    <row r="20" spans="10:11" x14ac:dyDescent="0.25">
      <c r="J20" s="139" t="s">
        <v>17</v>
      </c>
      <c r="K20" s="139"/>
    </row>
    <row r="21" spans="10:11" x14ac:dyDescent="0.25">
      <c r="J21" s="140"/>
      <c r="K21" s="140"/>
    </row>
  </sheetData>
  <mergeCells count="16">
    <mergeCell ref="J20:K21"/>
    <mergeCell ref="A1:L1"/>
    <mergeCell ref="A2:F3"/>
    <mergeCell ref="G2:L3"/>
    <mergeCell ref="A4:L4"/>
    <mergeCell ref="A7:L7"/>
    <mergeCell ref="A8:F10"/>
    <mergeCell ref="G8:I8"/>
    <mergeCell ref="J8:L8"/>
    <mergeCell ref="G9:I10"/>
    <mergeCell ref="J9:L10"/>
    <mergeCell ref="A11:L11"/>
    <mergeCell ref="A12:B14"/>
    <mergeCell ref="C12:L14"/>
    <mergeCell ref="J16:K17"/>
    <mergeCell ref="J18:K19"/>
  </mergeCells>
  <pageMargins left="0.7" right="0.7" top="0.75" bottom="0.75" header="0.3" footer="0.3"/>
  <pageSetup scale="58" orientation="landscape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>
      <selection sqref="A1:L1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15" customHeight="1" x14ac:dyDescent="0.25">
      <c r="A2" s="127" t="s">
        <v>13</v>
      </c>
      <c r="B2" s="127"/>
      <c r="C2" s="127"/>
      <c r="D2" s="127"/>
      <c r="E2" s="127"/>
      <c r="F2" s="127"/>
      <c r="G2" s="129" t="s">
        <v>192</v>
      </c>
      <c r="H2" s="129"/>
      <c r="I2" s="129"/>
      <c r="J2" s="129"/>
      <c r="K2" s="129"/>
      <c r="L2" s="129"/>
    </row>
    <row r="3" spans="1:12" ht="15.75" customHeight="1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30.75" thickBot="1" x14ac:dyDescent="0.3">
      <c r="A6" s="54">
        <v>1</v>
      </c>
      <c r="B6" s="55" t="s">
        <v>193</v>
      </c>
      <c r="C6" s="56" t="s">
        <v>194</v>
      </c>
      <c r="D6" s="57" t="s">
        <v>33</v>
      </c>
      <c r="E6" s="58">
        <v>400</v>
      </c>
      <c r="F6" s="59">
        <v>0</v>
      </c>
      <c r="G6" s="60">
        <v>0</v>
      </c>
      <c r="H6" s="59">
        <f>Table161320[[#This Row],[Количина]]*Table161320[[#This Row],[Цена по ЈМ без ПДВ – а]]</f>
        <v>0</v>
      </c>
      <c r="I6" s="61">
        <f>Table161320[[#This Row],[Стопа ПДВ - а]]*Table161320[[#This Row],[Укупна цена без ПДВ - а]]</f>
        <v>0</v>
      </c>
      <c r="J6" s="59">
        <f>Table161320[[#This Row],[Укупна цена без ПДВ - а]]+Table161320[[#This Row],[Укупно ПДВ]]</f>
        <v>0</v>
      </c>
      <c r="K6" s="62"/>
      <c r="L6" s="63"/>
    </row>
    <row r="7" spans="1:12" ht="15.75" thickBot="1" x14ac:dyDescent="0.3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spans="1:12" ht="15" customHeight="1" x14ac:dyDescent="0.25">
      <c r="A8" s="131" t="s">
        <v>14</v>
      </c>
      <c r="B8" s="131"/>
      <c r="C8" s="131"/>
      <c r="D8" s="131"/>
      <c r="E8" s="131"/>
      <c r="F8" s="131"/>
      <c r="G8" s="134" t="s">
        <v>15</v>
      </c>
      <c r="H8" s="134"/>
      <c r="I8" s="134"/>
      <c r="J8" s="134" t="s">
        <v>16</v>
      </c>
      <c r="K8" s="134"/>
      <c r="L8" s="134"/>
    </row>
    <row r="9" spans="1:12" ht="15" customHeight="1" x14ac:dyDescent="0.25">
      <c r="A9" s="132"/>
      <c r="B9" s="132"/>
      <c r="C9" s="132"/>
      <c r="D9" s="132"/>
      <c r="E9" s="132"/>
      <c r="F9" s="132"/>
      <c r="G9" s="135">
        <f>SUM(Table161320[Укупна цена без ПДВ - а])</f>
        <v>0</v>
      </c>
      <c r="H9" s="135"/>
      <c r="I9" s="135"/>
      <c r="J9" s="135">
        <f>SUM(Table161320[Укупна цена са ПДВ - ом])</f>
        <v>0</v>
      </c>
      <c r="K9" s="135"/>
      <c r="L9" s="135"/>
    </row>
    <row r="10" spans="1:12" ht="15.75" customHeight="1" thickBot="1" x14ac:dyDescent="0.3">
      <c r="A10" s="133"/>
      <c r="B10" s="133"/>
      <c r="C10" s="133"/>
      <c r="D10" s="133"/>
      <c r="E10" s="133"/>
      <c r="F10" s="133"/>
      <c r="G10" s="136"/>
      <c r="H10" s="136"/>
      <c r="I10" s="136"/>
      <c r="J10" s="136"/>
      <c r="K10" s="136"/>
      <c r="L10" s="136"/>
    </row>
    <row r="11" spans="1:12" ht="15.75" thickBot="1" x14ac:dyDescent="0.3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</row>
    <row r="12" spans="1:12" ht="15.75" customHeight="1" thickTop="1" x14ac:dyDescent="0.25">
      <c r="A12" s="141" t="s">
        <v>24</v>
      </c>
      <c r="B12" s="141"/>
      <c r="C12" s="144" t="s">
        <v>69</v>
      </c>
      <c r="D12" s="144"/>
      <c r="E12" s="144"/>
      <c r="F12" s="144"/>
      <c r="G12" s="144"/>
      <c r="H12" s="144"/>
      <c r="I12" s="144"/>
      <c r="J12" s="144"/>
      <c r="K12" s="144"/>
      <c r="L12" s="144"/>
    </row>
    <row r="13" spans="1:12" ht="15" customHeight="1" x14ac:dyDescent="0.25">
      <c r="A13" s="142"/>
      <c r="B13" s="142"/>
      <c r="C13" s="145"/>
      <c r="D13" s="145"/>
      <c r="E13" s="145"/>
      <c r="F13" s="145"/>
      <c r="G13" s="145"/>
      <c r="H13" s="145"/>
      <c r="I13" s="145"/>
      <c r="J13" s="145"/>
      <c r="K13" s="145"/>
      <c r="L13" s="145"/>
    </row>
    <row r="14" spans="1:12" ht="15.75" customHeight="1" thickBot="1" x14ac:dyDescent="0.3">
      <c r="A14" s="143"/>
      <c r="B14" s="143"/>
      <c r="C14" s="146"/>
      <c r="D14" s="146"/>
      <c r="E14" s="146"/>
      <c r="F14" s="146"/>
      <c r="G14" s="146"/>
      <c r="H14" s="146"/>
      <c r="I14" s="146"/>
      <c r="J14" s="146"/>
      <c r="K14" s="146"/>
      <c r="L14" s="146"/>
    </row>
    <row r="15" spans="1:12" ht="15.75" thickTop="1" x14ac:dyDescent="0.25"/>
    <row r="16" spans="1:12" x14ac:dyDescent="0.25">
      <c r="J16" s="137" t="s">
        <v>18</v>
      </c>
      <c r="K16" s="137"/>
    </row>
    <row r="17" spans="10:11" x14ac:dyDescent="0.25">
      <c r="J17" s="137"/>
      <c r="K17" s="137"/>
    </row>
    <row r="18" spans="10:11" x14ac:dyDescent="0.25">
      <c r="J18" s="138"/>
      <c r="K18" s="138"/>
    </row>
    <row r="19" spans="10:11" ht="15.75" thickBot="1" x14ac:dyDescent="0.3">
      <c r="J19" s="109"/>
      <c r="K19" s="109"/>
    </row>
    <row r="20" spans="10:11" x14ac:dyDescent="0.25">
      <c r="J20" s="139" t="s">
        <v>17</v>
      </c>
      <c r="K20" s="139"/>
    </row>
    <row r="21" spans="10:11" x14ac:dyDescent="0.25">
      <c r="J21" s="140"/>
      <c r="K21" s="140"/>
    </row>
  </sheetData>
  <mergeCells count="16">
    <mergeCell ref="J20:K21"/>
    <mergeCell ref="A1:L1"/>
    <mergeCell ref="A2:F3"/>
    <mergeCell ref="G2:L3"/>
    <mergeCell ref="A4:L4"/>
    <mergeCell ref="A7:L7"/>
    <mergeCell ref="A8:F10"/>
    <mergeCell ref="G8:I8"/>
    <mergeCell ref="J8:L8"/>
    <mergeCell ref="G9:I10"/>
    <mergeCell ref="J9:L10"/>
    <mergeCell ref="A11:L11"/>
    <mergeCell ref="A12:B14"/>
    <mergeCell ref="C12:L14"/>
    <mergeCell ref="J16:K17"/>
    <mergeCell ref="J18:K19"/>
  </mergeCells>
  <pageMargins left="0.7" right="0.7" top="0.75" bottom="0.75" header="0.3" footer="0.3"/>
  <pageSetup scale="58" orientation="landscape" r:id="rId1"/>
  <drawing r:id="rId2"/>
  <tableParts count="1">
    <tablePart r:id="rId3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>
      <selection activeCell="M22" sqref="M22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15" customHeight="1" x14ac:dyDescent="0.25">
      <c r="A2" s="127" t="s">
        <v>13</v>
      </c>
      <c r="B2" s="127"/>
      <c r="C2" s="127"/>
      <c r="D2" s="127"/>
      <c r="E2" s="127"/>
      <c r="F2" s="127"/>
      <c r="G2" s="129" t="s">
        <v>195</v>
      </c>
      <c r="H2" s="129"/>
      <c r="I2" s="129"/>
      <c r="J2" s="129"/>
      <c r="K2" s="129"/>
      <c r="L2" s="129"/>
    </row>
    <row r="3" spans="1:12" ht="15.75" customHeight="1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19.5" thickBot="1" x14ac:dyDescent="0.3">
      <c r="A6" s="54">
        <v>1</v>
      </c>
      <c r="B6" s="55" t="s">
        <v>196</v>
      </c>
      <c r="C6" s="56" t="s">
        <v>197</v>
      </c>
      <c r="D6" s="57" t="s">
        <v>4</v>
      </c>
      <c r="E6" s="58">
        <v>25000</v>
      </c>
      <c r="F6" s="59">
        <v>0</v>
      </c>
      <c r="G6" s="60">
        <v>0</v>
      </c>
      <c r="H6" s="59">
        <f>Table16132025[[#This Row],[Количина]]*Table16132025[[#This Row],[Цена по ЈМ без ПДВ – а]]</f>
        <v>0</v>
      </c>
      <c r="I6" s="61">
        <f>Table16132025[[#This Row],[Стопа ПДВ - а]]*Table16132025[[#This Row],[Укупна цена без ПДВ - а]]</f>
        <v>0</v>
      </c>
      <c r="J6" s="59">
        <f>Table16132025[[#This Row],[Укупна цена без ПДВ - а]]+Table16132025[[#This Row],[Укупно ПДВ]]</f>
        <v>0</v>
      </c>
      <c r="K6" s="62"/>
      <c r="L6" s="63"/>
    </row>
    <row r="7" spans="1:12" ht="15.75" thickBot="1" x14ac:dyDescent="0.3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spans="1:12" ht="15" customHeight="1" x14ac:dyDescent="0.25">
      <c r="A8" s="131" t="s">
        <v>14</v>
      </c>
      <c r="B8" s="131"/>
      <c r="C8" s="131"/>
      <c r="D8" s="131"/>
      <c r="E8" s="131"/>
      <c r="F8" s="131"/>
      <c r="G8" s="134" t="s">
        <v>15</v>
      </c>
      <c r="H8" s="134"/>
      <c r="I8" s="134"/>
      <c r="J8" s="134" t="s">
        <v>16</v>
      </c>
      <c r="K8" s="134"/>
      <c r="L8" s="134"/>
    </row>
    <row r="9" spans="1:12" ht="15" customHeight="1" x14ac:dyDescent="0.25">
      <c r="A9" s="132"/>
      <c r="B9" s="132"/>
      <c r="C9" s="132"/>
      <c r="D9" s="132"/>
      <c r="E9" s="132"/>
      <c r="F9" s="132"/>
      <c r="G9" s="135">
        <f>SUM(Table16132025[Укупна цена без ПДВ - а])</f>
        <v>0</v>
      </c>
      <c r="H9" s="135"/>
      <c r="I9" s="135"/>
      <c r="J9" s="135">
        <f>SUM(Table16132025[Укупна цена са ПДВ - ом])</f>
        <v>0</v>
      </c>
      <c r="K9" s="135"/>
      <c r="L9" s="135"/>
    </row>
    <row r="10" spans="1:12" ht="15.75" customHeight="1" thickBot="1" x14ac:dyDescent="0.3">
      <c r="A10" s="133"/>
      <c r="B10" s="133"/>
      <c r="C10" s="133"/>
      <c r="D10" s="133"/>
      <c r="E10" s="133"/>
      <c r="F10" s="133"/>
      <c r="G10" s="136"/>
      <c r="H10" s="136"/>
      <c r="I10" s="136"/>
      <c r="J10" s="136"/>
      <c r="K10" s="136"/>
      <c r="L10" s="136"/>
    </row>
    <row r="11" spans="1:12" ht="15.75" thickBot="1" x14ac:dyDescent="0.3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</row>
    <row r="12" spans="1:12" ht="15.75" customHeight="1" thickTop="1" x14ac:dyDescent="0.25">
      <c r="A12" s="141" t="s">
        <v>24</v>
      </c>
      <c r="B12" s="141"/>
      <c r="C12" s="144" t="s">
        <v>69</v>
      </c>
      <c r="D12" s="144"/>
      <c r="E12" s="144"/>
      <c r="F12" s="144"/>
      <c r="G12" s="144"/>
      <c r="H12" s="144"/>
      <c r="I12" s="144"/>
      <c r="J12" s="144"/>
      <c r="K12" s="144"/>
      <c r="L12" s="144"/>
    </row>
    <row r="13" spans="1:12" ht="15" customHeight="1" x14ac:dyDescent="0.25">
      <c r="A13" s="142"/>
      <c r="B13" s="142"/>
      <c r="C13" s="145"/>
      <c r="D13" s="145"/>
      <c r="E13" s="145"/>
      <c r="F13" s="145"/>
      <c r="G13" s="145"/>
      <c r="H13" s="145"/>
      <c r="I13" s="145"/>
      <c r="J13" s="145"/>
      <c r="K13" s="145"/>
      <c r="L13" s="145"/>
    </row>
    <row r="14" spans="1:12" ht="15.75" customHeight="1" thickBot="1" x14ac:dyDescent="0.3">
      <c r="A14" s="143"/>
      <c r="B14" s="143"/>
      <c r="C14" s="146"/>
      <c r="D14" s="146"/>
      <c r="E14" s="146"/>
      <c r="F14" s="146"/>
      <c r="G14" s="146"/>
      <c r="H14" s="146"/>
      <c r="I14" s="146"/>
      <c r="J14" s="146"/>
      <c r="K14" s="146"/>
      <c r="L14" s="146"/>
    </row>
    <row r="15" spans="1:12" ht="15.75" thickTop="1" x14ac:dyDescent="0.25"/>
    <row r="16" spans="1:12" x14ac:dyDescent="0.25">
      <c r="J16" s="137" t="s">
        <v>18</v>
      </c>
      <c r="K16" s="137"/>
    </row>
    <row r="17" spans="10:11" x14ac:dyDescent="0.25">
      <c r="J17" s="137"/>
      <c r="K17" s="137"/>
    </row>
    <row r="18" spans="10:11" x14ac:dyDescent="0.25">
      <c r="J18" s="138"/>
      <c r="K18" s="138"/>
    </row>
    <row r="19" spans="10:11" ht="15.75" thickBot="1" x14ac:dyDescent="0.3">
      <c r="J19" s="109"/>
      <c r="K19" s="109"/>
    </row>
    <row r="20" spans="10:11" x14ac:dyDescent="0.25">
      <c r="J20" s="139" t="s">
        <v>17</v>
      </c>
      <c r="K20" s="139"/>
    </row>
    <row r="21" spans="10:11" x14ac:dyDescent="0.25">
      <c r="J21" s="140"/>
      <c r="K21" s="140"/>
    </row>
  </sheetData>
  <mergeCells count="16">
    <mergeCell ref="J20:K21"/>
    <mergeCell ref="A1:L1"/>
    <mergeCell ref="A2:F3"/>
    <mergeCell ref="G2:L3"/>
    <mergeCell ref="A4:L4"/>
    <mergeCell ref="A7:L7"/>
    <mergeCell ref="A8:F10"/>
    <mergeCell ref="G8:I8"/>
    <mergeCell ref="J8:L8"/>
    <mergeCell ref="G9:I10"/>
    <mergeCell ref="J9:L10"/>
    <mergeCell ref="A11:L11"/>
    <mergeCell ref="A12:B14"/>
    <mergeCell ref="C12:L14"/>
    <mergeCell ref="J16:K17"/>
    <mergeCell ref="J18:K19"/>
  </mergeCells>
  <pageMargins left="0.7" right="0.7" top="0.75" bottom="0.75" header="0.3" footer="0.3"/>
  <pageSetup scale="58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0"/>
  <sheetViews>
    <sheetView zoomScaleNormal="100" workbookViewId="0">
      <selection activeCell="U42" sqref="U42"/>
    </sheetView>
  </sheetViews>
  <sheetFormatPr defaultRowHeight="15" x14ac:dyDescent="0.25"/>
  <cols>
    <col min="1" max="2" width="9.140625" style="30"/>
    <col min="3" max="3" width="4.140625" style="30" customWidth="1"/>
    <col min="4" max="16384" width="9.140625" style="30"/>
  </cols>
  <sheetData>
    <row r="2" spans="2:17" x14ac:dyDescent="0.25">
      <c r="B2" s="107"/>
      <c r="C2" s="107"/>
    </row>
    <row r="3" spans="2:17" ht="21" customHeight="1" x14ac:dyDescent="0.25">
      <c r="B3" s="107"/>
      <c r="C3" s="107"/>
      <c r="D3" s="90" t="s">
        <v>292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2:17" ht="18.75" customHeight="1" x14ac:dyDescent="0.25">
      <c r="B4" s="107"/>
      <c r="C4" s="107"/>
      <c r="D4" s="91" t="s">
        <v>293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2:17" ht="15.75" customHeight="1" x14ac:dyDescent="0.25">
      <c r="B5" s="107"/>
      <c r="C5" s="107"/>
      <c r="D5" s="93" t="s">
        <v>294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2:17" ht="18.75" x14ac:dyDescent="0.25">
      <c r="D6" s="95" t="s">
        <v>295</v>
      </c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9" spans="2:17" x14ac:dyDescent="0.25">
      <c r="B9" s="122" t="s">
        <v>315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</row>
    <row r="10" spans="2:17" x14ac:dyDescent="0.25"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</row>
    <row r="12" spans="2:17" x14ac:dyDescent="0.25"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</row>
    <row r="13" spans="2:17" x14ac:dyDescent="0.25"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</row>
    <row r="14" spans="2:17" ht="18.75" x14ac:dyDescent="0.25"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</row>
    <row r="15" spans="2:17" ht="15.75" thickBot="1" x14ac:dyDescent="0.3"/>
    <row r="16" spans="2:17" ht="50.1" customHeight="1" thickTop="1" thickBot="1" x14ac:dyDescent="0.3">
      <c r="B16" s="117" t="s">
        <v>317</v>
      </c>
      <c r="C16" s="118"/>
      <c r="D16" s="118"/>
      <c r="E16" s="118"/>
      <c r="F16" s="118"/>
      <c r="G16" s="119"/>
      <c r="H16" s="120"/>
      <c r="I16" s="120"/>
      <c r="J16" s="120"/>
      <c r="K16" s="120"/>
      <c r="L16" s="120"/>
      <c r="M16" s="120"/>
      <c r="N16" s="120"/>
      <c r="O16" s="120"/>
      <c r="P16" s="121"/>
    </row>
    <row r="17" spans="2:16" ht="50.1" customHeight="1" thickBot="1" x14ac:dyDescent="0.3">
      <c r="B17" s="110" t="s">
        <v>300</v>
      </c>
      <c r="C17" s="111"/>
      <c r="D17" s="111"/>
      <c r="E17" s="111"/>
      <c r="F17" s="111"/>
      <c r="G17" s="112"/>
      <c r="H17" s="113"/>
      <c r="I17" s="113"/>
      <c r="J17" s="113"/>
      <c r="K17" s="113"/>
      <c r="L17" s="113"/>
      <c r="M17" s="113"/>
      <c r="N17" s="113"/>
      <c r="O17" s="113"/>
      <c r="P17" s="114"/>
    </row>
    <row r="18" spans="2:16" ht="50.1" customHeight="1" thickBot="1" x14ac:dyDescent="0.3">
      <c r="B18" s="110" t="s">
        <v>301</v>
      </c>
      <c r="C18" s="111"/>
      <c r="D18" s="111"/>
      <c r="E18" s="111"/>
      <c r="F18" s="111"/>
      <c r="G18" s="112"/>
      <c r="H18" s="113"/>
      <c r="I18" s="113"/>
      <c r="J18" s="113"/>
      <c r="K18" s="113"/>
      <c r="L18" s="113"/>
      <c r="M18" s="113"/>
      <c r="N18" s="113"/>
      <c r="O18" s="113"/>
      <c r="P18" s="114"/>
    </row>
    <row r="19" spans="2:16" ht="50.1" customHeight="1" thickBot="1" x14ac:dyDescent="0.3">
      <c r="B19" s="110" t="s">
        <v>302</v>
      </c>
      <c r="C19" s="111"/>
      <c r="D19" s="111"/>
      <c r="E19" s="111"/>
      <c r="F19" s="111"/>
      <c r="G19" s="112"/>
      <c r="H19" s="113"/>
      <c r="I19" s="113"/>
      <c r="J19" s="113"/>
      <c r="K19" s="113"/>
      <c r="L19" s="113"/>
      <c r="M19" s="113"/>
      <c r="N19" s="113"/>
      <c r="O19" s="113"/>
      <c r="P19" s="114"/>
    </row>
    <row r="20" spans="2:16" ht="50.1" customHeight="1" thickBot="1" x14ac:dyDescent="0.3">
      <c r="B20" s="98" t="s">
        <v>303</v>
      </c>
      <c r="C20" s="99"/>
      <c r="D20" s="99"/>
      <c r="E20" s="99"/>
      <c r="F20" s="99"/>
      <c r="G20" s="100"/>
      <c r="H20" s="101"/>
      <c r="I20" s="101"/>
      <c r="J20" s="101"/>
      <c r="K20" s="101"/>
      <c r="L20" s="101"/>
      <c r="M20" s="101"/>
      <c r="N20" s="101"/>
      <c r="O20" s="101"/>
      <c r="P20" s="102"/>
    </row>
    <row r="21" spans="2:16" ht="19.5" customHeight="1" thickTop="1" x14ac:dyDescent="0.25"/>
    <row r="22" spans="2:16" ht="19.5" customHeight="1" x14ac:dyDescent="0.25">
      <c r="B22" s="103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</row>
    <row r="23" spans="2:16" ht="19.5" customHeight="1" x14ac:dyDescent="0.25"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</row>
    <row r="24" spans="2:16" ht="19.5" customHeight="1" x14ac:dyDescent="0.25"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</row>
    <row r="25" spans="2:16" ht="19.5" customHeight="1" x14ac:dyDescent="0.25"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</row>
    <row r="26" spans="2:16" ht="18.75" x14ac:dyDescent="0.25"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</row>
    <row r="27" spans="2:16" ht="18.75" x14ac:dyDescent="0.25"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</row>
    <row r="29" spans="2:16" x14ac:dyDescent="0.25">
      <c r="B29" s="97" t="s">
        <v>316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</row>
    <row r="30" spans="2:16" x14ac:dyDescent="0.25"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2:16" x14ac:dyDescent="0.25"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</row>
    <row r="32" spans="2:16" x14ac:dyDescent="0.25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</row>
    <row r="34" spans="11:15" x14ac:dyDescent="0.25">
      <c r="K34" s="107"/>
      <c r="L34" s="107"/>
      <c r="M34" s="107"/>
      <c r="N34" s="107"/>
      <c r="O34" s="107"/>
    </row>
    <row r="35" spans="11:15" x14ac:dyDescent="0.25">
      <c r="K35" s="107"/>
      <c r="L35" s="107"/>
      <c r="M35" s="107"/>
      <c r="N35" s="107"/>
      <c r="O35" s="107"/>
    </row>
    <row r="36" spans="11:15" ht="18.75" x14ac:dyDescent="0.25">
      <c r="K36" s="108" t="s">
        <v>18</v>
      </c>
      <c r="L36" s="108"/>
      <c r="M36" s="108"/>
      <c r="N36" s="108"/>
      <c r="O36" s="108"/>
    </row>
    <row r="37" spans="11:15" x14ac:dyDescent="0.25">
      <c r="K37" s="107"/>
      <c r="L37" s="107"/>
      <c r="M37" s="107"/>
      <c r="N37" s="107"/>
      <c r="O37" s="107"/>
    </row>
    <row r="38" spans="11:15" ht="15.75" thickBot="1" x14ac:dyDescent="0.3">
      <c r="K38" s="109"/>
      <c r="L38" s="109"/>
      <c r="M38" s="109"/>
      <c r="N38" s="109"/>
      <c r="O38" s="109"/>
    </row>
    <row r="39" spans="11:15" x14ac:dyDescent="0.25">
      <c r="K39" s="105" t="s">
        <v>17</v>
      </c>
      <c r="L39" s="105"/>
      <c r="M39" s="105"/>
      <c r="N39" s="105"/>
      <c r="O39" s="105"/>
    </row>
    <row r="40" spans="11:15" x14ac:dyDescent="0.25">
      <c r="K40" s="106"/>
      <c r="L40" s="106"/>
      <c r="M40" s="106"/>
      <c r="N40" s="106"/>
      <c r="O40" s="106"/>
    </row>
  </sheetData>
  <mergeCells count="30">
    <mergeCell ref="K36:O36"/>
    <mergeCell ref="K37:O37"/>
    <mergeCell ref="K38:O38"/>
    <mergeCell ref="K39:O40"/>
    <mergeCell ref="B25:P25"/>
    <mergeCell ref="B26:P26"/>
    <mergeCell ref="B27:P27"/>
    <mergeCell ref="B29:P32"/>
    <mergeCell ref="K34:O34"/>
    <mergeCell ref="K35:O35"/>
    <mergeCell ref="B22:P23"/>
    <mergeCell ref="B24:P24"/>
    <mergeCell ref="B18:G18"/>
    <mergeCell ref="H18:P18"/>
    <mergeCell ref="B19:G19"/>
    <mergeCell ref="H19:P19"/>
    <mergeCell ref="B20:G20"/>
    <mergeCell ref="H20:P20"/>
    <mergeCell ref="B12:P13"/>
    <mergeCell ref="B14:P14"/>
    <mergeCell ref="B16:G16"/>
    <mergeCell ref="H16:P16"/>
    <mergeCell ref="B17:G17"/>
    <mergeCell ref="H17:P17"/>
    <mergeCell ref="B9:P10"/>
    <mergeCell ref="B2:C5"/>
    <mergeCell ref="D3:Q3"/>
    <mergeCell ref="D4:Q4"/>
    <mergeCell ref="D5:Q5"/>
    <mergeCell ref="D6:Q6"/>
  </mergeCells>
  <hyperlinks>
    <hyperlink ref="D6" r:id="rId1"/>
  </hyperlinks>
  <pageMargins left="0.7" right="0.7" top="0.75" bottom="0.75" header="0.3" footer="0.3"/>
  <pageSetup scale="60" orientation="portrait" r:id="rId2"/>
  <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37" zoomScaleNormal="100" workbookViewId="0">
      <selection activeCell="M59" sqref="M59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15" customHeight="1" x14ac:dyDescent="0.25">
      <c r="A2" s="127" t="s">
        <v>13</v>
      </c>
      <c r="B2" s="127"/>
      <c r="C2" s="127"/>
      <c r="D2" s="127"/>
      <c r="E2" s="127"/>
      <c r="F2" s="127"/>
      <c r="G2" s="129" t="s">
        <v>198</v>
      </c>
      <c r="H2" s="129"/>
      <c r="I2" s="129"/>
      <c r="J2" s="129"/>
      <c r="K2" s="129"/>
      <c r="L2" s="129"/>
    </row>
    <row r="3" spans="1:12" ht="15.75" customHeight="1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30" x14ac:dyDescent="0.25">
      <c r="A6" s="5">
        <v>1</v>
      </c>
      <c r="B6" s="37" t="s">
        <v>199</v>
      </c>
      <c r="C6" s="40" t="s">
        <v>239</v>
      </c>
      <c r="D6" s="16" t="s">
        <v>55</v>
      </c>
      <c r="E6" s="11">
        <v>1700</v>
      </c>
      <c r="F6" s="17">
        <v>0</v>
      </c>
      <c r="G6" s="25">
        <v>0</v>
      </c>
      <c r="H6" s="17">
        <f>Table161328[[#This Row],[Количина]]*Table161328[[#This Row],[Цена по ЈМ без ПДВ – а]]</f>
        <v>0</v>
      </c>
      <c r="I6" s="18">
        <f>Table161328[[#This Row],[Стопа ПДВ - а]]*Table161328[[#This Row],[Укупна цена без ПДВ - а]]</f>
        <v>0</v>
      </c>
      <c r="J6" s="17">
        <f>Table161328[[#This Row],[Укупна цена без ПДВ - а]]+Table161328[[#This Row],[Укупно ПДВ]]</f>
        <v>0</v>
      </c>
      <c r="K6" s="31"/>
      <c r="L6" s="32"/>
    </row>
    <row r="7" spans="1:12" ht="18.75" x14ac:dyDescent="0.25">
      <c r="A7" s="6">
        <v>2</v>
      </c>
      <c r="B7" s="38" t="s">
        <v>200</v>
      </c>
      <c r="C7" s="41" t="s">
        <v>201</v>
      </c>
      <c r="D7" s="16" t="s">
        <v>33</v>
      </c>
      <c r="E7" s="12">
        <v>1000</v>
      </c>
      <c r="F7" s="19">
        <v>0</v>
      </c>
      <c r="G7" s="26">
        <v>0</v>
      </c>
      <c r="H7" s="19">
        <f>Table161328[[#This Row],[Количина]]*Table161328[[#This Row],[Цена по ЈМ без ПДВ – а]]</f>
        <v>0</v>
      </c>
      <c r="I7" s="20">
        <f>Table161328[[#This Row],[Стопа ПДВ - а]]*Table161328[[#This Row],[Укупна цена без ПДВ - а]]</f>
        <v>0</v>
      </c>
      <c r="J7" s="19">
        <f>Table161328[[#This Row],[Укупна цена без ПДВ - а]]+Table161328[[#This Row],[Укупно ПДВ]]</f>
        <v>0</v>
      </c>
      <c r="K7" s="33"/>
      <c r="L7" s="34"/>
    </row>
    <row r="8" spans="1:12" ht="30" x14ac:dyDescent="0.25">
      <c r="A8" s="6">
        <v>3</v>
      </c>
      <c r="B8" s="38" t="s">
        <v>202</v>
      </c>
      <c r="C8" s="41" t="s">
        <v>240</v>
      </c>
      <c r="D8" s="16" t="s">
        <v>33</v>
      </c>
      <c r="E8" s="12">
        <v>700</v>
      </c>
      <c r="F8" s="19">
        <v>0</v>
      </c>
      <c r="G8" s="26">
        <v>0</v>
      </c>
      <c r="H8" s="19">
        <f>Table161328[[#This Row],[Количина]]*Table161328[[#This Row],[Цена по ЈМ без ПДВ – а]]</f>
        <v>0</v>
      </c>
      <c r="I8" s="20">
        <f>Table161328[[#This Row],[Стопа ПДВ - а]]*Table161328[[#This Row],[Укупна цена без ПДВ - а]]</f>
        <v>0</v>
      </c>
      <c r="J8" s="19">
        <f>Table161328[[#This Row],[Укупна цена без ПДВ - а]]+Table161328[[#This Row],[Укупно ПДВ]]</f>
        <v>0</v>
      </c>
      <c r="K8" s="33"/>
      <c r="L8" s="34"/>
    </row>
    <row r="9" spans="1:12" ht="18.75" x14ac:dyDescent="0.25">
      <c r="A9" s="6">
        <v>4</v>
      </c>
      <c r="B9" s="38" t="s">
        <v>203</v>
      </c>
      <c r="C9" s="41" t="s">
        <v>241</v>
      </c>
      <c r="D9" s="16" t="s">
        <v>33</v>
      </c>
      <c r="E9" s="12">
        <v>20</v>
      </c>
      <c r="F9" s="19">
        <v>0</v>
      </c>
      <c r="G9" s="26">
        <v>0</v>
      </c>
      <c r="H9" s="19">
        <f>Table161328[[#This Row],[Количина]]*Table161328[[#This Row],[Цена по ЈМ без ПДВ – а]]</f>
        <v>0</v>
      </c>
      <c r="I9" s="20">
        <f>Table161328[[#This Row],[Стопа ПДВ - а]]*Table161328[[#This Row],[Укупна цена без ПДВ - а]]</f>
        <v>0</v>
      </c>
      <c r="J9" s="19">
        <f>Table161328[[#This Row],[Укупна цена без ПДВ - а]]+Table161328[[#This Row],[Укупно ПДВ]]</f>
        <v>0</v>
      </c>
      <c r="K9" s="33"/>
      <c r="L9" s="34"/>
    </row>
    <row r="10" spans="1:12" ht="18.75" x14ac:dyDescent="0.25">
      <c r="A10" s="6">
        <v>5</v>
      </c>
      <c r="B10" s="38" t="s">
        <v>204</v>
      </c>
      <c r="C10" s="41" t="s">
        <v>242</v>
      </c>
      <c r="D10" s="16" t="s">
        <v>4</v>
      </c>
      <c r="E10" s="12">
        <v>300</v>
      </c>
      <c r="F10" s="19">
        <v>0</v>
      </c>
      <c r="G10" s="26">
        <v>0</v>
      </c>
      <c r="H10" s="19">
        <f>Table161328[[#This Row],[Количина]]*Table161328[[#This Row],[Цена по ЈМ без ПДВ – а]]</f>
        <v>0</v>
      </c>
      <c r="I10" s="20">
        <f>Table161328[[#This Row],[Стопа ПДВ - а]]*Table161328[[#This Row],[Укупна цена без ПДВ - а]]</f>
        <v>0</v>
      </c>
      <c r="J10" s="19">
        <f>Table161328[[#This Row],[Укупна цена без ПДВ - а]]+Table161328[[#This Row],[Укупно ПДВ]]</f>
        <v>0</v>
      </c>
      <c r="K10" s="33"/>
      <c r="L10" s="34"/>
    </row>
    <row r="11" spans="1:12" ht="18.75" x14ac:dyDescent="0.25">
      <c r="A11" s="6">
        <v>6</v>
      </c>
      <c r="B11" s="38" t="s">
        <v>205</v>
      </c>
      <c r="C11" s="41" t="s">
        <v>242</v>
      </c>
      <c r="D11" s="16" t="s">
        <v>4</v>
      </c>
      <c r="E11" s="12">
        <v>1000</v>
      </c>
      <c r="F11" s="19">
        <v>0</v>
      </c>
      <c r="G11" s="26">
        <v>0</v>
      </c>
      <c r="H11" s="19">
        <f>Table161328[[#This Row],[Количина]]*Table161328[[#This Row],[Цена по ЈМ без ПДВ – а]]</f>
        <v>0</v>
      </c>
      <c r="I11" s="20">
        <f>Table161328[[#This Row],[Стопа ПДВ - а]]*Table161328[[#This Row],[Укупна цена без ПДВ - а]]</f>
        <v>0</v>
      </c>
      <c r="J11" s="19">
        <f>Table161328[[#This Row],[Укупна цена без ПДВ - а]]+Table161328[[#This Row],[Укупно ПДВ]]</f>
        <v>0</v>
      </c>
      <c r="K11" s="33"/>
      <c r="L11" s="34"/>
    </row>
    <row r="12" spans="1:12" ht="18.75" x14ac:dyDescent="0.25">
      <c r="A12" s="6">
        <v>7</v>
      </c>
      <c r="B12" s="38" t="s">
        <v>206</v>
      </c>
      <c r="C12" s="41" t="s">
        <v>242</v>
      </c>
      <c r="D12" s="16" t="s">
        <v>4</v>
      </c>
      <c r="E12" s="12">
        <v>400</v>
      </c>
      <c r="F12" s="19">
        <v>0</v>
      </c>
      <c r="G12" s="26">
        <v>0</v>
      </c>
      <c r="H12" s="19">
        <f>Table161328[[#This Row],[Количина]]*Table161328[[#This Row],[Цена по ЈМ без ПДВ – а]]</f>
        <v>0</v>
      </c>
      <c r="I12" s="20">
        <f>Table161328[[#This Row],[Стопа ПДВ - а]]*Table161328[[#This Row],[Укупна цена без ПДВ - а]]</f>
        <v>0</v>
      </c>
      <c r="J12" s="19">
        <f>Table161328[[#This Row],[Укупна цена без ПДВ - а]]+Table161328[[#This Row],[Укупно ПДВ]]</f>
        <v>0</v>
      </c>
      <c r="K12" s="33"/>
      <c r="L12" s="34"/>
    </row>
    <row r="13" spans="1:12" ht="18.75" x14ac:dyDescent="0.25">
      <c r="A13" s="6">
        <v>8</v>
      </c>
      <c r="B13" s="38" t="s">
        <v>207</v>
      </c>
      <c r="C13" s="41" t="s">
        <v>243</v>
      </c>
      <c r="D13" s="16" t="s">
        <v>4</v>
      </c>
      <c r="E13" s="12">
        <v>800</v>
      </c>
      <c r="F13" s="19">
        <v>0</v>
      </c>
      <c r="G13" s="26">
        <v>0</v>
      </c>
      <c r="H13" s="19">
        <f>Table161328[[#This Row],[Количина]]*Table161328[[#This Row],[Цена по ЈМ без ПДВ – а]]</f>
        <v>0</v>
      </c>
      <c r="I13" s="20">
        <f>Table161328[[#This Row],[Стопа ПДВ - а]]*Table161328[[#This Row],[Укупна цена без ПДВ - а]]</f>
        <v>0</v>
      </c>
      <c r="J13" s="19">
        <f>Table161328[[#This Row],[Укупна цена без ПДВ - а]]+Table161328[[#This Row],[Укупно ПДВ]]</f>
        <v>0</v>
      </c>
      <c r="K13" s="33"/>
      <c r="L13" s="34"/>
    </row>
    <row r="14" spans="1:12" ht="30" x14ac:dyDescent="0.25">
      <c r="A14" s="6">
        <v>9</v>
      </c>
      <c r="B14" s="38" t="s">
        <v>208</v>
      </c>
      <c r="C14" s="41" t="s">
        <v>244</v>
      </c>
      <c r="D14" s="16" t="s">
        <v>4</v>
      </c>
      <c r="E14" s="12">
        <v>500</v>
      </c>
      <c r="F14" s="19">
        <v>0</v>
      </c>
      <c r="G14" s="26">
        <v>0</v>
      </c>
      <c r="H14" s="19">
        <f>Table161328[[#This Row],[Количина]]*Table161328[[#This Row],[Цена по ЈМ без ПДВ – а]]</f>
        <v>0</v>
      </c>
      <c r="I14" s="20">
        <f>Table161328[[#This Row],[Стопа ПДВ - а]]*Table161328[[#This Row],[Укупна цена без ПДВ - а]]</f>
        <v>0</v>
      </c>
      <c r="J14" s="19">
        <f>Table161328[[#This Row],[Укупна цена без ПДВ - а]]+Table161328[[#This Row],[Укупно ПДВ]]</f>
        <v>0</v>
      </c>
      <c r="K14" s="33"/>
      <c r="L14" s="34"/>
    </row>
    <row r="15" spans="1:12" ht="18.75" x14ac:dyDescent="0.25">
      <c r="A15" s="6">
        <v>10</v>
      </c>
      <c r="B15" s="38" t="s">
        <v>209</v>
      </c>
      <c r="C15" s="41" t="s">
        <v>245</v>
      </c>
      <c r="D15" s="16" t="s">
        <v>55</v>
      </c>
      <c r="E15" s="12">
        <v>100</v>
      </c>
      <c r="F15" s="19">
        <v>0</v>
      </c>
      <c r="G15" s="26">
        <v>0</v>
      </c>
      <c r="H15" s="19">
        <f>Table161328[[#This Row],[Количина]]*Table161328[[#This Row],[Цена по ЈМ без ПДВ – а]]</f>
        <v>0</v>
      </c>
      <c r="I15" s="20">
        <f>Table161328[[#This Row],[Стопа ПДВ - а]]*Table161328[[#This Row],[Укупна цена без ПДВ - а]]</f>
        <v>0</v>
      </c>
      <c r="J15" s="19">
        <f>Table161328[[#This Row],[Укупна цена без ПДВ - а]]+Table161328[[#This Row],[Укупно ПДВ]]</f>
        <v>0</v>
      </c>
      <c r="K15" s="33"/>
      <c r="L15" s="34"/>
    </row>
    <row r="16" spans="1:12" ht="18.75" x14ac:dyDescent="0.25">
      <c r="A16" s="6">
        <v>11</v>
      </c>
      <c r="B16" s="38" t="s">
        <v>210</v>
      </c>
      <c r="C16" s="41" t="s">
        <v>246</v>
      </c>
      <c r="D16" s="16" t="s">
        <v>33</v>
      </c>
      <c r="E16" s="12">
        <v>100</v>
      </c>
      <c r="F16" s="19">
        <v>0</v>
      </c>
      <c r="G16" s="26">
        <v>0</v>
      </c>
      <c r="H16" s="19">
        <f>Table161328[[#This Row],[Количина]]*Table161328[[#This Row],[Цена по ЈМ без ПДВ – а]]</f>
        <v>0</v>
      </c>
      <c r="I16" s="20">
        <f>Table161328[[#This Row],[Стопа ПДВ - а]]*Table161328[[#This Row],[Укупна цена без ПДВ - а]]</f>
        <v>0</v>
      </c>
      <c r="J16" s="19">
        <f>Table161328[[#This Row],[Укупна цена без ПДВ - а]]+Table161328[[#This Row],[Укупно ПДВ]]</f>
        <v>0</v>
      </c>
      <c r="K16" s="33"/>
      <c r="L16" s="34"/>
    </row>
    <row r="17" spans="1:12" ht="18.75" x14ac:dyDescent="0.25">
      <c r="A17" s="6">
        <v>12</v>
      </c>
      <c r="B17" s="38" t="s">
        <v>211</v>
      </c>
      <c r="C17" s="41" t="s">
        <v>246</v>
      </c>
      <c r="D17" s="16" t="s">
        <v>33</v>
      </c>
      <c r="E17" s="12">
        <v>400</v>
      </c>
      <c r="F17" s="19">
        <v>0</v>
      </c>
      <c r="G17" s="26">
        <v>0</v>
      </c>
      <c r="H17" s="19">
        <f>Table161328[[#This Row],[Количина]]*Table161328[[#This Row],[Цена по ЈМ без ПДВ – а]]</f>
        <v>0</v>
      </c>
      <c r="I17" s="20">
        <f>Table161328[[#This Row],[Стопа ПДВ - а]]*Table161328[[#This Row],[Укупна цена без ПДВ - а]]</f>
        <v>0</v>
      </c>
      <c r="J17" s="19">
        <f>Table161328[[#This Row],[Укупна цена без ПДВ - а]]+Table161328[[#This Row],[Укупно ПДВ]]</f>
        <v>0</v>
      </c>
      <c r="K17" s="33"/>
      <c r="L17" s="34"/>
    </row>
    <row r="18" spans="1:12" ht="18.75" x14ac:dyDescent="0.25">
      <c r="A18" s="6">
        <v>13</v>
      </c>
      <c r="B18" s="38" t="s">
        <v>212</v>
      </c>
      <c r="C18" s="41" t="s">
        <v>246</v>
      </c>
      <c r="D18" s="16" t="s">
        <v>33</v>
      </c>
      <c r="E18" s="12">
        <v>100</v>
      </c>
      <c r="F18" s="19">
        <v>0</v>
      </c>
      <c r="G18" s="26">
        <v>0</v>
      </c>
      <c r="H18" s="19">
        <f>Table161328[[#This Row],[Количина]]*Table161328[[#This Row],[Цена по ЈМ без ПДВ – а]]</f>
        <v>0</v>
      </c>
      <c r="I18" s="20">
        <f>Table161328[[#This Row],[Стопа ПДВ - а]]*Table161328[[#This Row],[Укупна цена без ПДВ - а]]</f>
        <v>0</v>
      </c>
      <c r="J18" s="19">
        <f>Table161328[[#This Row],[Укупна цена без ПДВ - а]]+Table161328[[#This Row],[Укупно ПДВ]]</f>
        <v>0</v>
      </c>
      <c r="K18" s="33"/>
      <c r="L18" s="34"/>
    </row>
    <row r="19" spans="1:12" ht="18.75" x14ac:dyDescent="0.25">
      <c r="A19" s="6">
        <v>14</v>
      </c>
      <c r="B19" s="38" t="s">
        <v>213</v>
      </c>
      <c r="C19" s="41" t="s">
        <v>247</v>
      </c>
      <c r="D19" s="16" t="s">
        <v>33</v>
      </c>
      <c r="E19" s="12">
        <v>50</v>
      </c>
      <c r="F19" s="19">
        <v>0</v>
      </c>
      <c r="G19" s="26">
        <v>0</v>
      </c>
      <c r="H19" s="19">
        <f>Table161328[[#This Row],[Количина]]*Table161328[[#This Row],[Цена по ЈМ без ПДВ – а]]</f>
        <v>0</v>
      </c>
      <c r="I19" s="20">
        <f>Table161328[[#This Row],[Стопа ПДВ - а]]*Table161328[[#This Row],[Укупна цена без ПДВ - а]]</f>
        <v>0</v>
      </c>
      <c r="J19" s="19">
        <f>Table161328[[#This Row],[Укупна цена без ПДВ - а]]+Table161328[[#This Row],[Укупно ПДВ]]</f>
        <v>0</v>
      </c>
      <c r="K19" s="33"/>
      <c r="L19" s="34"/>
    </row>
    <row r="20" spans="1:12" ht="18.75" x14ac:dyDescent="0.25">
      <c r="A20" s="6">
        <v>15</v>
      </c>
      <c r="B20" s="38" t="s">
        <v>214</v>
      </c>
      <c r="C20" s="41" t="s">
        <v>248</v>
      </c>
      <c r="D20" s="16" t="s">
        <v>4</v>
      </c>
      <c r="E20" s="12">
        <v>500</v>
      </c>
      <c r="F20" s="19">
        <v>0</v>
      </c>
      <c r="G20" s="26">
        <v>0</v>
      </c>
      <c r="H20" s="19">
        <f>Table161328[[#This Row],[Количина]]*Table161328[[#This Row],[Цена по ЈМ без ПДВ – а]]</f>
        <v>0</v>
      </c>
      <c r="I20" s="20">
        <f>Table161328[[#This Row],[Стопа ПДВ - а]]*Table161328[[#This Row],[Укупна цена без ПДВ - а]]</f>
        <v>0</v>
      </c>
      <c r="J20" s="19">
        <f>Table161328[[#This Row],[Укупна цена без ПДВ - а]]+Table161328[[#This Row],[Укупно ПДВ]]</f>
        <v>0</v>
      </c>
      <c r="K20" s="33"/>
      <c r="L20" s="34"/>
    </row>
    <row r="21" spans="1:12" ht="18.75" x14ac:dyDescent="0.25">
      <c r="A21" s="6">
        <v>16</v>
      </c>
      <c r="B21" s="38" t="s">
        <v>215</v>
      </c>
      <c r="C21" s="41" t="s">
        <v>249</v>
      </c>
      <c r="D21" s="16" t="s">
        <v>4</v>
      </c>
      <c r="E21" s="12">
        <v>500</v>
      </c>
      <c r="F21" s="19">
        <v>0</v>
      </c>
      <c r="G21" s="26">
        <v>0</v>
      </c>
      <c r="H21" s="19">
        <f>Table161328[[#This Row],[Количина]]*Table161328[[#This Row],[Цена по ЈМ без ПДВ – а]]</f>
        <v>0</v>
      </c>
      <c r="I21" s="20">
        <f>Table161328[[#This Row],[Стопа ПДВ - а]]*Table161328[[#This Row],[Укупна цена без ПДВ - а]]</f>
        <v>0</v>
      </c>
      <c r="J21" s="19">
        <f>Table161328[[#This Row],[Укупна цена без ПДВ - а]]+Table161328[[#This Row],[Укупно ПДВ]]</f>
        <v>0</v>
      </c>
      <c r="K21" s="33"/>
      <c r="L21" s="34"/>
    </row>
    <row r="22" spans="1:12" ht="37.5" x14ac:dyDescent="0.25">
      <c r="A22" s="6">
        <v>17</v>
      </c>
      <c r="B22" s="38" t="s">
        <v>216</v>
      </c>
      <c r="C22" s="41" t="s">
        <v>186</v>
      </c>
      <c r="D22" s="16" t="s">
        <v>33</v>
      </c>
      <c r="E22" s="12">
        <v>1200</v>
      </c>
      <c r="F22" s="19">
        <v>0</v>
      </c>
      <c r="G22" s="26">
        <v>0</v>
      </c>
      <c r="H22" s="19">
        <f>Table161328[[#This Row],[Количина]]*Table161328[[#This Row],[Цена по ЈМ без ПДВ – а]]</f>
        <v>0</v>
      </c>
      <c r="I22" s="20">
        <f>Table161328[[#This Row],[Стопа ПДВ - а]]*Table161328[[#This Row],[Укупна цена без ПДВ - а]]</f>
        <v>0</v>
      </c>
      <c r="J22" s="19">
        <f>Table161328[[#This Row],[Укупна цена без ПДВ - а]]+Table161328[[#This Row],[Укупно ПДВ]]</f>
        <v>0</v>
      </c>
      <c r="K22" s="33"/>
      <c r="L22" s="34"/>
    </row>
    <row r="23" spans="1:12" ht="18.75" x14ac:dyDescent="0.25">
      <c r="A23" s="6">
        <v>18</v>
      </c>
      <c r="B23" s="38" t="s">
        <v>217</v>
      </c>
      <c r="C23" s="41"/>
      <c r="D23" s="16" t="s">
        <v>33</v>
      </c>
      <c r="E23" s="12">
        <v>100</v>
      </c>
      <c r="F23" s="19">
        <v>0</v>
      </c>
      <c r="G23" s="26">
        <v>0</v>
      </c>
      <c r="H23" s="19">
        <f>Table161328[[#This Row],[Количина]]*Table161328[[#This Row],[Цена по ЈМ без ПДВ – а]]</f>
        <v>0</v>
      </c>
      <c r="I23" s="20">
        <f>Table161328[[#This Row],[Стопа ПДВ - а]]*Table161328[[#This Row],[Укупна цена без ПДВ - а]]</f>
        <v>0</v>
      </c>
      <c r="J23" s="19">
        <f>Table161328[[#This Row],[Укупна цена без ПДВ - а]]+Table161328[[#This Row],[Укупно ПДВ]]</f>
        <v>0</v>
      </c>
      <c r="K23" s="33"/>
      <c r="L23" s="34"/>
    </row>
    <row r="24" spans="1:12" ht="18.75" x14ac:dyDescent="0.25">
      <c r="A24" s="6">
        <v>19</v>
      </c>
      <c r="B24" s="38" t="s">
        <v>218</v>
      </c>
      <c r="C24" s="41" t="s">
        <v>250</v>
      </c>
      <c r="D24" s="16" t="s">
        <v>33</v>
      </c>
      <c r="E24" s="12">
        <v>1000</v>
      </c>
      <c r="F24" s="19">
        <v>0</v>
      </c>
      <c r="G24" s="26">
        <v>0</v>
      </c>
      <c r="H24" s="19">
        <f>Table161328[[#This Row],[Количина]]*Table161328[[#This Row],[Цена по ЈМ без ПДВ – а]]</f>
        <v>0</v>
      </c>
      <c r="I24" s="20">
        <f>Table161328[[#This Row],[Стопа ПДВ - а]]*Table161328[[#This Row],[Укупна цена без ПДВ - а]]</f>
        <v>0</v>
      </c>
      <c r="J24" s="19">
        <f>Table161328[[#This Row],[Укупна цена без ПДВ - а]]+Table161328[[#This Row],[Укупно ПДВ]]</f>
        <v>0</v>
      </c>
      <c r="K24" s="33"/>
      <c r="L24" s="34"/>
    </row>
    <row r="25" spans="1:12" ht="45" x14ac:dyDescent="0.25">
      <c r="A25" s="6">
        <v>20</v>
      </c>
      <c r="B25" s="38" t="s">
        <v>219</v>
      </c>
      <c r="C25" s="41" t="s">
        <v>251</v>
      </c>
      <c r="D25" s="16" t="s">
        <v>33</v>
      </c>
      <c r="E25" s="12">
        <v>1000</v>
      </c>
      <c r="F25" s="19">
        <v>0</v>
      </c>
      <c r="G25" s="26">
        <v>0</v>
      </c>
      <c r="H25" s="19">
        <f>Table161328[[#This Row],[Количина]]*Table161328[[#This Row],[Цена по ЈМ без ПДВ – а]]</f>
        <v>0</v>
      </c>
      <c r="I25" s="20">
        <f>Table161328[[#This Row],[Стопа ПДВ - а]]*Table161328[[#This Row],[Укупна цена без ПДВ - а]]</f>
        <v>0</v>
      </c>
      <c r="J25" s="19">
        <f>Table161328[[#This Row],[Укупна цена без ПДВ - а]]+Table161328[[#This Row],[Укупно ПДВ]]</f>
        <v>0</v>
      </c>
      <c r="K25" s="33"/>
      <c r="L25" s="34"/>
    </row>
    <row r="26" spans="1:12" ht="45" x14ac:dyDescent="0.25">
      <c r="A26" s="6">
        <v>21</v>
      </c>
      <c r="B26" s="38" t="s">
        <v>220</v>
      </c>
      <c r="C26" s="41" t="s">
        <v>252</v>
      </c>
      <c r="D26" s="16" t="s">
        <v>33</v>
      </c>
      <c r="E26" s="12">
        <v>600</v>
      </c>
      <c r="F26" s="19">
        <v>0</v>
      </c>
      <c r="G26" s="26">
        <v>0</v>
      </c>
      <c r="H26" s="19">
        <f>Table161328[[#This Row],[Количина]]*Table161328[[#This Row],[Цена по ЈМ без ПДВ – а]]</f>
        <v>0</v>
      </c>
      <c r="I26" s="20">
        <f>Table161328[[#This Row],[Стопа ПДВ - а]]*Table161328[[#This Row],[Укупна цена без ПДВ - а]]</f>
        <v>0</v>
      </c>
      <c r="J26" s="19">
        <f>Table161328[[#This Row],[Укупна цена без ПДВ - а]]+Table161328[[#This Row],[Укупно ПДВ]]</f>
        <v>0</v>
      </c>
      <c r="K26" s="33"/>
      <c r="L26" s="34"/>
    </row>
    <row r="27" spans="1:12" ht="37.5" x14ac:dyDescent="0.25">
      <c r="A27" s="6">
        <v>22</v>
      </c>
      <c r="B27" s="38" t="s">
        <v>221</v>
      </c>
      <c r="C27" s="41" t="s">
        <v>253</v>
      </c>
      <c r="D27" s="16" t="s">
        <v>33</v>
      </c>
      <c r="E27" s="12">
        <v>60</v>
      </c>
      <c r="F27" s="19">
        <v>0</v>
      </c>
      <c r="G27" s="26">
        <v>0</v>
      </c>
      <c r="H27" s="19">
        <f>Table161328[[#This Row],[Количина]]*Table161328[[#This Row],[Цена по ЈМ без ПДВ – а]]</f>
        <v>0</v>
      </c>
      <c r="I27" s="20">
        <f>Table161328[[#This Row],[Стопа ПДВ - а]]*Table161328[[#This Row],[Укупна цена без ПДВ - а]]</f>
        <v>0</v>
      </c>
      <c r="J27" s="19">
        <f>Table161328[[#This Row],[Укупна цена без ПДВ - а]]+Table161328[[#This Row],[Укупно ПДВ]]</f>
        <v>0</v>
      </c>
      <c r="K27" s="33"/>
      <c r="L27" s="34"/>
    </row>
    <row r="28" spans="1:12" ht="18.75" x14ac:dyDescent="0.25">
      <c r="A28" s="6">
        <v>23</v>
      </c>
      <c r="B28" s="38" t="s">
        <v>222</v>
      </c>
      <c r="C28" s="41" t="s">
        <v>254</v>
      </c>
      <c r="D28" s="16" t="s">
        <v>4</v>
      </c>
      <c r="E28" s="12">
        <v>6000</v>
      </c>
      <c r="F28" s="19">
        <v>0</v>
      </c>
      <c r="G28" s="26">
        <v>0</v>
      </c>
      <c r="H28" s="19">
        <f>Table161328[[#This Row],[Количина]]*Table161328[[#This Row],[Цена по ЈМ без ПДВ – а]]</f>
        <v>0</v>
      </c>
      <c r="I28" s="20">
        <f>Table161328[[#This Row],[Стопа ПДВ - а]]*Table161328[[#This Row],[Укупна цена без ПДВ - а]]</f>
        <v>0</v>
      </c>
      <c r="J28" s="19">
        <f>Table161328[[#This Row],[Укупна цена без ПДВ - а]]+Table161328[[#This Row],[Укупно ПДВ]]</f>
        <v>0</v>
      </c>
      <c r="K28" s="33"/>
      <c r="L28" s="34"/>
    </row>
    <row r="29" spans="1:12" ht="18.75" x14ac:dyDescent="0.25">
      <c r="A29" s="6">
        <v>24</v>
      </c>
      <c r="B29" s="38" t="s">
        <v>223</v>
      </c>
      <c r="C29" s="41" t="s">
        <v>246</v>
      </c>
      <c r="D29" s="16" t="s">
        <v>33</v>
      </c>
      <c r="E29" s="12">
        <v>20</v>
      </c>
      <c r="F29" s="19">
        <v>0</v>
      </c>
      <c r="G29" s="26">
        <v>0</v>
      </c>
      <c r="H29" s="19">
        <f>Table161328[[#This Row],[Количина]]*Table161328[[#This Row],[Цена по ЈМ без ПДВ – а]]</f>
        <v>0</v>
      </c>
      <c r="I29" s="20">
        <f>Table161328[[#This Row],[Стопа ПДВ - а]]*Table161328[[#This Row],[Укупна цена без ПДВ - а]]</f>
        <v>0</v>
      </c>
      <c r="J29" s="19">
        <f>Table161328[[#This Row],[Укупна цена без ПДВ - а]]+Table161328[[#This Row],[Укупно ПДВ]]</f>
        <v>0</v>
      </c>
      <c r="K29" s="33"/>
      <c r="L29" s="34"/>
    </row>
    <row r="30" spans="1:12" ht="18.75" x14ac:dyDescent="0.25">
      <c r="A30" s="6">
        <v>25</v>
      </c>
      <c r="B30" s="38" t="s">
        <v>223</v>
      </c>
      <c r="C30" s="41" t="s">
        <v>255</v>
      </c>
      <c r="D30" s="16" t="s">
        <v>4</v>
      </c>
      <c r="E30" s="12">
        <v>6000</v>
      </c>
      <c r="F30" s="19">
        <v>0</v>
      </c>
      <c r="G30" s="26">
        <v>0</v>
      </c>
      <c r="H30" s="19">
        <f>Table161328[[#This Row],[Количина]]*Table161328[[#This Row],[Цена по ЈМ без ПДВ – а]]</f>
        <v>0</v>
      </c>
      <c r="I30" s="20">
        <f>Table161328[[#This Row],[Стопа ПДВ - а]]*Table161328[[#This Row],[Укупна цена без ПДВ - а]]</f>
        <v>0</v>
      </c>
      <c r="J30" s="19">
        <f>Table161328[[#This Row],[Укупна цена без ПДВ - а]]+Table161328[[#This Row],[Укупно ПДВ]]</f>
        <v>0</v>
      </c>
      <c r="K30" s="33"/>
      <c r="L30" s="34"/>
    </row>
    <row r="31" spans="1:12" ht="30" x14ac:dyDescent="0.25">
      <c r="A31" s="6">
        <v>26</v>
      </c>
      <c r="B31" s="38" t="s">
        <v>224</v>
      </c>
      <c r="C31" s="41" t="s">
        <v>256</v>
      </c>
      <c r="D31" s="16" t="s">
        <v>33</v>
      </c>
      <c r="E31" s="12">
        <v>1000</v>
      </c>
      <c r="F31" s="19">
        <v>0</v>
      </c>
      <c r="G31" s="26">
        <v>0</v>
      </c>
      <c r="H31" s="19">
        <f>Table161328[[#This Row],[Количина]]*Table161328[[#This Row],[Цена по ЈМ без ПДВ – а]]</f>
        <v>0</v>
      </c>
      <c r="I31" s="20">
        <f>Table161328[[#This Row],[Стопа ПДВ - а]]*Table161328[[#This Row],[Укупна цена без ПДВ - а]]</f>
        <v>0</v>
      </c>
      <c r="J31" s="19">
        <f>Table161328[[#This Row],[Укупна цена без ПДВ - а]]+Table161328[[#This Row],[Укупно ПДВ]]</f>
        <v>0</v>
      </c>
      <c r="K31" s="33"/>
      <c r="L31" s="34"/>
    </row>
    <row r="32" spans="1:12" ht="30" x14ac:dyDescent="0.25">
      <c r="A32" s="6">
        <v>27</v>
      </c>
      <c r="B32" s="38" t="s">
        <v>225</v>
      </c>
      <c r="C32" s="41" t="s">
        <v>257</v>
      </c>
      <c r="D32" s="16" t="s">
        <v>33</v>
      </c>
      <c r="E32" s="12">
        <v>500</v>
      </c>
      <c r="F32" s="19">
        <v>0</v>
      </c>
      <c r="G32" s="26">
        <v>0</v>
      </c>
      <c r="H32" s="19">
        <f>Table161328[[#This Row],[Количина]]*Table161328[[#This Row],[Цена по ЈМ без ПДВ – а]]</f>
        <v>0</v>
      </c>
      <c r="I32" s="20">
        <f>Table161328[[#This Row],[Стопа ПДВ - а]]*Table161328[[#This Row],[Укупна цена без ПДВ - а]]</f>
        <v>0</v>
      </c>
      <c r="J32" s="19">
        <f>Table161328[[#This Row],[Укупна цена без ПДВ - а]]+Table161328[[#This Row],[Укупно ПДВ]]</f>
        <v>0</v>
      </c>
      <c r="K32" s="33"/>
      <c r="L32" s="34"/>
    </row>
    <row r="33" spans="1:12" ht="30" x14ac:dyDescent="0.25">
      <c r="A33" s="6">
        <v>28</v>
      </c>
      <c r="B33" s="38" t="s">
        <v>225</v>
      </c>
      <c r="C33" s="41" t="s">
        <v>258</v>
      </c>
      <c r="D33" s="16" t="s">
        <v>33</v>
      </c>
      <c r="E33" s="12">
        <v>300</v>
      </c>
      <c r="F33" s="19">
        <v>0</v>
      </c>
      <c r="G33" s="26">
        <v>0</v>
      </c>
      <c r="H33" s="19">
        <f>Table161328[[#This Row],[Количина]]*Table161328[[#This Row],[Цена по ЈМ без ПДВ – а]]</f>
        <v>0</v>
      </c>
      <c r="I33" s="20">
        <f>Table161328[[#This Row],[Стопа ПДВ - а]]*Table161328[[#This Row],[Укупна цена без ПДВ - а]]</f>
        <v>0</v>
      </c>
      <c r="J33" s="19">
        <f>Table161328[[#This Row],[Укупна цена без ПДВ - а]]+Table161328[[#This Row],[Укупно ПДВ]]</f>
        <v>0</v>
      </c>
      <c r="K33" s="33"/>
      <c r="L33" s="34"/>
    </row>
    <row r="34" spans="1:12" ht="18.75" x14ac:dyDescent="0.25">
      <c r="A34" s="6">
        <v>29</v>
      </c>
      <c r="B34" s="38" t="s">
        <v>226</v>
      </c>
      <c r="C34" s="41"/>
      <c r="D34" s="16" t="s">
        <v>33</v>
      </c>
      <c r="E34" s="12">
        <v>10</v>
      </c>
      <c r="F34" s="19">
        <v>0</v>
      </c>
      <c r="G34" s="26">
        <v>0</v>
      </c>
      <c r="H34" s="19">
        <f>Table161328[[#This Row],[Количина]]*Table161328[[#This Row],[Цена по ЈМ без ПДВ – а]]</f>
        <v>0</v>
      </c>
      <c r="I34" s="20">
        <f>Table161328[[#This Row],[Стопа ПДВ - а]]*Table161328[[#This Row],[Укупна цена без ПДВ - а]]</f>
        <v>0</v>
      </c>
      <c r="J34" s="19">
        <f>Table161328[[#This Row],[Укупна цена без ПДВ - а]]+Table161328[[#This Row],[Укупно ПДВ]]</f>
        <v>0</v>
      </c>
      <c r="K34" s="33"/>
      <c r="L34" s="34"/>
    </row>
    <row r="35" spans="1:12" ht="18.75" x14ac:dyDescent="0.25">
      <c r="A35" s="6">
        <v>30</v>
      </c>
      <c r="B35" s="38" t="s">
        <v>227</v>
      </c>
      <c r="C35" s="41" t="s">
        <v>259</v>
      </c>
      <c r="D35" s="16" t="s">
        <v>33</v>
      </c>
      <c r="E35" s="12">
        <v>150</v>
      </c>
      <c r="F35" s="19">
        <v>0</v>
      </c>
      <c r="G35" s="26">
        <v>0</v>
      </c>
      <c r="H35" s="19">
        <f>Table161328[[#This Row],[Количина]]*Table161328[[#This Row],[Цена по ЈМ без ПДВ – а]]</f>
        <v>0</v>
      </c>
      <c r="I35" s="20">
        <f>Table161328[[#This Row],[Стопа ПДВ - а]]*Table161328[[#This Row],[Укупна цена без ПДВ - а]]</f>
        <v>0</v>
      </c>
      <c r="J35" s="19">
        <f>Table161328[[#This Row],[Укупна цена без ПДВ - а]]+Table161328[[#This Row],[Укупно ПДВ]]</f>
        <v>0</v>
      </c>
      <c r="K35" s="33"/>
      <c r="L35" s="34"/>
    </row>
    <row r="36" spans="1:12" ht="18.75" x14ac:dyDescent="0.25">
      <c r="A36" s="6">
        <v>31</v>
      </c>
      <c r="B36" s="38" t="s">
        <v>228</v>
      </c>
      <c r="C36" s="41" t="s">
        <v>259</v>
      </c>
      <c r="D36" s="16" t="s">
        <v>33</v>
      </c>
      <c r="E36" s="12">
        <v>50</v>
      </c>
      <c r="F36" s="19">
        <v>0</v>
      </c>
      <c r="G36" s="26">
        <v>0</v>
      </c>
      <c r="H36" s="19">
        <f>Table161328[[#This Row],[Количина]]*Table161328[[#This Row],[Цена по ЈМ без ПДВ – а]]</f>
        <v>0</v>
      </c>
      <c r="I36" s="20">
        <f>Table161328[[#This Row],[Стопа ПДВ - а]]*Table161328[[#This Row],[Укупна цена без ПДВ - а]]</f>
        <v>0</v>
      </c>
      <c r="J36" s="19">
        <f>Table161328[[#This Row],[Укупна цена без ПДВ - а]]+Table161328[[#This Row],[Укупно ПДВ]]</f>
        <v>0</v>
      </c>
      <c r="K36" s="33"/>
      <c r="L36" s="34"/>
    </row>
    <row r="37" spans="1:12" ht="37.5" x14ac:dyDescent="0.25">
      <c r="A37" s="7">
        <v>32</v>
      </c>
      <c r="B37" s="39" t="s">
        <v>230</v>
      </c>
      <c r="C37" s="43" t="s">
        <v>260</v>
      </c>
      <c r="D37" s="78" t="s">
        <v>33</v>
      </c>
      <c r="E37" s="13">
        <v>50</v>
      </c>
      <c r="F37" s="21">
        <v>0</v>
      </c>
      <c r="G37" s="27">
        <v>0</v>
      </c>
      <c r="H37" s="21">
        <f>Table161328[[#This Row],[Количина]]*Table161328[[#This Row],[Цена по ЈМ без ПДВ – а]]</f>
        <v>0</v>
      </c>
      <c r="I37" s="22">
        <f>Table161328[[#This Row],[Стопа ПДВ - а]]*Table161328[[#This Row],[Укупна цена без ПДВ - а]]</f>
        <v>0</v>
      </c>
      <c r="J37" s="21">
        <f>Table161328[[#This Row],[Укупна цена без ПДВ - а]]+Table161328[[#This Row],[Укупно ПДВ]]</f>
        <v>0</v>
      </c>
      <c r="K37" s="35"/>
      <c r="L37" s="36"/>
    </row>
    <row r="38" spans="1:12" ht="18.75" x14ac:dyDescent="0.25">
      <c r="A38" s="6">
        <v>33</v>
      </c>
      <c r="B38" s="68" t="s">
        <v>229</v>
      </c>
      <c r="C38" s="69" t="s">
        <v>261</v>
      </c>
      <c r="D38" s="77" t="s">
        <v>4</v>
      </c>
      <c r="E38" s="71">
        <v>20</v>
      </c>
      <c r="F38" s="72">
        <v>0</v>
      </c>
      <c r="G38" s="73">
        <v>0</v>
      </c>
      <c r="H38" s="72">
        <f>Table161328[[#This Row],[Количина]]*Table161328[[#This Row],[Цена по ЈМ без ПДВ – а]]</f>
        <v>0</v>
      </c>
      <c r="I38" s="74">
        <f>Table161328[[#This Row],[Стопа ПДВ - а]]*Table161328[[#This Row],[Укупна цена без ПДВ - а]]</f>
        <v>0</v>
      </c>
      <c r="J38" s="75">
        <f>Table161328[[#This Row],[Укупна цена без ПДВ - а]]+Table161328[[#This Row],[Укупно ПДВ]]</f>
        <v>0</v>
      </c>
      <c r="K38" s="76"/>
      <c r="L38" s="34"/>
    </row>
    <row r="39" spans="1:12" ht="18.75" x14ac:dyDescent="0.25">
      <c r="A39" s="7">
        <v>34</v>
      </c>
      <c r="B39" s="68" t="s">
        <v>231</v>
      </c>
      <c r="C39" s="69" t="s">
        <v>262</v>
      </c>
      <c r="D39" s="70" t="s">
        <v>4</v>
      </c>
      <c r="E39" s="71">
        <v>300</v>
      </c>
      <c r="F39" s="72">
        <v>0</v>
      </c>
      <c r="G39" s="73">
        <v>0</v>
      </c>
      <c r="H39" s="72">
        <f>Table161328[[#This Row],[Количина]]*Table161328[[#This Row],[Цена по ЈМ без ПДВ – а]]</f>
        <v>0</v>
      </c>
      <c r="I39" s="74">
        <f>Table161328[[#This Row],[Стопа ПДВ - а]]*Table161328[[#This Row],[Укупна цена без ПДВ - а]]</f>
        <v>0</v>
      </c>
      <c r="J39" s="75">
        <f>Table161328[[#This Row],[Укупна цена без ПДВ - а]]+Table161328[[#This Row],[Укупно ПДВ]]</f>
        <v>0</v>
      </c>
      <c r="K39" s="76"/>
      <c r="L39" s="34"/>
    </row>
    <row r="40" spans="1:12" ht="18.75" x14ac:dyDescent="0.25">
      <c r="A40" s="6">
        <v>35</v>
      </c>
      <c r="B40" s="68" t="s">
        <v>232</v>
      </c>
      <c r="C40" s="69" t="s">
        <v>262</v>
      </c>
      <c r="D40" s="70" t="s">
        <v>4</v>
      </c>
      <c r="E40" s="71">
        <v>600</v>
      </c>
      <c r="F40" s="72">
        <v>0</v>
      </c>
      <c r="G40" s="73">
        <v>0</v>
      </c>
      <c r="H40" s="72">
        <f>Table161328[[#This Row],[Количина]]*Table161328[[#This Row],[Цена по ЈМ без ПДВ – а]]</f>
        <v>0</v>
      </c>
      <c r="I40" s="74">
        <f>Table161328[[#This Row],[Стопа ПДВ - а]]*Table161328[[#This Row],[Укупна цена без ПДВ - а]]</f>
        <v>0</v>
      </c>
      <c r="J40" s="75">
        <f>Table161328[[#This Row],[Укупна цена без ПДВ - а]]+Table161328[[#This Row],[Укупно ПДВ]]</f>
        <v>0</v>
      </c>
      <c r="K40" s="76"/>
      <c r="L40" s="34"/>
    </row>
    <row r="41" spans="1:12" ht="18.75" x14ac:dyDescent="0.25">
      <c r="A41" s="7">
        <v>36</v>
      </c>
      <c r="B41" s="68" t="s">
        <v>233</v>
      </c>
      <c r="C41" s="69" t="s">
        <v>262</v>
      </c>
      <c r="D41" s="70" t="s">
        <v>4</v>
      </c>
      <c r="E41" s="71">
        <v>600</v>
      </c>
      <c r="F41" s="72">
        <v>0</v>
      </c>
      <c r="G41" s="73">
        <v>0</v>
      </c>
      <c r="H41" s="72">
        <f>Table161328[[#This Row],[Количина]]*Table161328[[#This Row],[Цена по ЈМ без ПДВ – а]]</f>
        <v>0</v>
      </c>
      <c r="I41" s="74">
        <f>Table161328[[#This Row],[Стопа ПДВ - а]]*Table161328[[#This Row],[Укупна цена без ПДВ - а]]</f>
        <v>0</v>
      </c>
      <c r="J41" s="75">
        <f>Table161328[[#This Row],[Укупна цена без ПДВ - а]]+Table161328[[#This Row],[Укупно ПДВ]]</f>
        <v>0</v>
      </c>
      <c r="K41" s="76"/>
      <c r="L41" s="34"/>
    </row>
    <row r="42" spans="1:12" ht="18.75" x14ac:dyDescent="0.25">
      <c r="A42" s="6">
        <v>37</v>
      </c>
      <c r="B42" s="68" t="s">
        <v>234</v>
      </c>
      <c r="C42" s="69" t="s">
        <v>262</v>
      </c>
      <c r="D42" s="70" t="s">
        <v>4</v>
      </c>
      <c r="E42" s="71">
        <v>300</v>
      </c>
      <c r="F42" s="72">
        <v>0</v>
      </c>
      <c r="G42" s="73">
        <v>0</v>
      </c>
      <c r="H42" s="72">
        <f>Table161328[[#This Row],[Количина]]*Table161328[[#This Row],[Цена по ЈМ без ПДВ – а]]</f>
        <v>0</v>
      </c>
      <c r="I42" s="74">
        <f>Table161328[[#This Row],[Стопа ПДВ - а]]*Table161328[[#This Row],[Укупна цена без ПДВ - а]]</f>
        <v>0</v>
      </c>
      <c r="J42" s="75">
        <f>Table161328[[#This Row],[Укупна цена без ПДВ - а]]+Table161328[[#This Row],[Укупно ПДВ]]</f>
        <v>0</v>
      </c>
      <c r="K42" s="76"/>
      <c r="L42" s="34"/>
    </row>
    <row r="43" spans="1:12" ht="18.75" x14ac:dyDescent="0.25">
      <c r="A43" s="7">
        <v>38</v>
      </c>
      <c r="B43" s="68" t="s">
        <v>235</v>
      </c>
      <c r="C43" s="69" t="s">
        <v>262</v>
      </c>
      <c r="D43" s="70" t="s">
        <v>4</v>
      </c>
      <c r="E43" s="71">
        <v>400</v>
      </c>
      <c r="F43" s="72">
        <v>0</v>
      </c>
      <c r="G43" s="73">
        <v>0</v>
      </c>
      <c r="H43" s="72">
        <f>Table161328[[#This Row],[Количина]]*Table161328[[#This Row],[Цена по ЈМ без ПДВ – а]]</f>
        <v>0</v>
      </c>
      <c r="I43" s="74">
        <f>Table161328[[#This Row],[Стопа ПДВ - а]]*Table161328[[#This Row],[Укупна цена без ПДВ - а]]</f>
        <v>0</v>
      </c>
      <c r="J43" s="75">
        <f>Table161328[[#This Row],[Укупна цена без ПДВ - а]]+Table161328[[#This Row],[Укупно ПДВ]]</f>
        <v>0</v>
      </c>
      <c r="K43" s="76"/>
      <c r="L43" s="34"/>
    </row>
    <row r="44" spans="1:12" ht="18.75" x14ac:dyDescent="0.25">
      <c r="A44" s="6">
        <v>39</v>
      </c>
      <c r="B44" s="68" t="s">
        <v>236</v>
      </c>
      <c r="C44" s="69" t="s">
        <v>262</v>
      </c>
      <c r="D44" s="70" t="s">
        <v>4</v>
      </c>
      <c r="E44" s="71">
        <v>100</v>
      </c>
      <c r="F44" s="72">
        <v>0</v>
      </c>
      <c r="G44" s="73">
        <v>0</v>
      </c>
      <c r="H44" s="72">
        <f>Table161328[[#This Row],[Количина]]*Table161328[[#This Row],[Цена по ЈМ без ПДВ – а]]</f>
        <v>0</v>
      </c>
      <c r="I44" s="74">
        <f>Table161328[[#This Row],[Стопа ПДВ - а]]*Table161328[[#This Row],[Укупна цена без ПДВ - а]]</f>
        <v>0</v>
      </c>
      <c r="J44" s="75">
        <f>Table161328[[#This Row],[Укупна цена без ПДВ - а]]+Table161328[[#This Row],[Укупно ПДВ]]</f>
        <v>0</v>
      </c>
      <c r="K44" s="76"/>
      <c r="L44" s="34"/>
    </row>
    <row r="45" spans="1:12" ht="18.75" x14ac:dyDescent="0.25">
      <c r="A45" s="7">
        <v>40</v>
      </c>
      <c r="B45" s="68" t="s">
        <v>237</v>
      </c>
      <c r="C45" s="69" t="s">
        <v>263</v>
      </c>
      <c r="D45" s="70" t="s">
        <v>4</v>
      </c>
      <c r="E45" s="71">
        <v>300</v>
      </c>
      <c r="F45" s="72">
        <v>0</v>
      </c>
      <c r="G45" s="73">
        <v>0</v>
      </c>
      <c r="H45" s="72">
        <f>Table161328[[#This Row],[Количина]]*Table161328[[#This Row],[Цена по ЈМ без ПДВ – а]]</f>
        <v>0</v>
      </c>
      <c r="I45" s="74">
        <f>Table161328[[#This Row],[Стопа ПДВ - а]]*Table161328[[#This Row],[Укупна цена без ПДВ - а]]</f>
        <v>0</v>
      </c>
      <c r="J45" s="75">
        <f>Table161328[[#This Row],[Укупна цена без ПДВ - а]]+Table161328[[#This Row],[Укупно ПДВ]]</f>
        <v>0</v>
      </c>
      <c r="K45" s="76"/>
      <c r="L45" s="34"/>
    </row>
    <row r="46" spans="1:12" ht="19.5" thickBot="1" x14ac:dyDescent="0.3">
      <c r="A46" s="45">
        <v>41</v>
      </c>
      <c r="B46" s="79" t="s">
        <v>238</v>
      </c>
      <c r="C46" s="80" t="s">
        <v>264</v>
      </c>
      <c r="D46" s="81" t="s">
        <v>33</v>
      </c>
      <c r="E46" s="82">
        <v>5</v>
      </c>
      <c r="F46" s="83">
        <v>0</v>
      </c>
      <c r="G46" s="84">
        <v>0</v>
      </c>
      <c r="H46" s="83">
        <f>Table161328[[#This Row],[Количина]]*Table161328[[#This Row],[Цена по ЈМ без ПДВ – а]]</f>
        <v>0</v>
      </c>
      <c r="I46" s="85">
        <f>Table161328[[#This Row],[Стопа ПДВ - а]]*Table161328[[#This Row],[Укупна цена без ПДВ - а]]</f>
        <v>0</v>
      </c>
      <c r="J46" s="86">
        <f>Table161328[[#This Row],[Укупна цена без ПДВ - а]]+Table161328[[#This Row],[Укупно ПДВ]]</f>
        <v>0</v>
      </c>
      <c r="K46" s="87"/>
      <c r="L46" s="53"/>
    </row>
    <row r="47" spans="1:12" ht="15.75" thickBot="1" x14ac:dyDescent="0.3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</row>
    <row r="48" spans="1:12" x14ac:dyDescent="0.25">
      <c r="A48" s="131" t="s">
        <v>14</v>
      </c>
      <c r="B48" s="131"/>
      <c r="C48" s="131"/>
      <c r="D48" s="131"/>
      <c r="E48" s="131"/>
      <c r="F48" s="131"/>
      <c r="G48" s="134" t="s">
        <v>15</v>
      </c>
      <c r="H48" s="134"/>
      <c r="I48" s="134"/>
      <c r="J48" s="134" t="s">
        <v>16</v>
      </c>
      <c r="K48" s="134"/>
      <c r="L48" s="134"/>
    </row>
    <row r="49" spans="1:12" x14ac:dyDescent="0.25">
      <c r="A49" s="132"/>
      <c r="B49" s="132"/>
      <c r="C49" s="132"/>
      <c r="D49" s="132"/>
      <c r="E49" s="132"/>
      <c r="F49" s="132"/>
      <c r="G49" s="135">
        <f>SUM(Table161328[Укупна цена без ПДВ - а])</f>
        <v>0</v>
      </c>
      <c r="H49" s="135"/>
      <c r="I49" s="135"/>
      <c r="J49" s="135">
        <f>SUM(Table161328[Укупна цена са ПДВ - ом])</f>
        <v>0</v>
      </c>
      <c r="K49" s="135"/>
      <c r="L49" s="135"/>
    </row>
    <row r="50" spans="1:12" ht="15.75" thickBot="1" x14ac:dyDescent="0.3">
      <c r="A50" s="133"/>
      <c r="B50" s="133"/>
      <c r="C50" s="133"/>
      <c r="D50" s="133"/>
      <c r="E50" s="133"/>
      <c r="F50" s="133"/>
      <c r="G50" s="136"/>
      <c r="H50" s="136"/>
      <c r="I50" s="136"/>
      <c r="J50" s="136"/>
      <c r="K50" s="136"/>
      <c r="L50" s="136"/>
    </row>
    <row r="51" spans="1:12" ht="15.75" thickBot="1" x14ac:dyDescent="0.3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</row>
    <row r="52" spans="1:12" ht="15.75" thickTop="1" x14ac:dyDescent="0.25">
      <c r="A52" s="141" t="s">
        <v>24</v>
      </c>
      <c r="B52" s="141"/>
      <c r="C52" s="147" t="s">
        <v>265</v>
      </c>
      <c r="D52" s="147"/>
      <c r="E52" s="147"/>
      <c r="F52" s="147"/>
      <c r="G52" s="147"/>
      <c r="H52" s="147"/>
      <c r="I52" s="147"/>
      <c r="J52" s="147"/>
      <c r="K52" s="147"/>
      <c r="L52" s="147"/>
    </row>
    <row r="53" spans="1:12" x14ac:dyDescent="0.25">
      <c r="A53" s="142"/>
      <c r="B53" s="142"/>
      <c r="C53" s="148"/>
      <c r="D53" s="148"/>
      <c r="E53" s="148"/>
      <c r="F53" s="148"/>
      <c r="G53" s="148"/>
      <c r="H53" s="148"/>
      <c r="I53" s="148"/>
      <c r="J53" s="148"/>
      <c r="K53" s="148"/>
      <c r="L53" s="148"/>
    </row>
    <row r="54" spans="1:12" ht="15.75" thickBot="1" x14ac:dyDescent="0.3">
      <c r="A54" s="143"/>
      <c r="B54" s="143"/>
      <c r="C54" s="149"/>
      <c r="D54" s="149"/>
      <c r="E54" s="149"/>
      <c r="F54" s="149"/>
      <c r="G54" s="149"/>
      <c r="H54" s="149"/>
      <c r="I54" s="149"/>
      <c r="J54" s="149"/>
      <c r="K54" s="149"/>
      <c r="L54" s="149"/>
    </row>
    <row r="55" spans="1:12" ht="15.75" thickTop="1" x14ac:dyDescent="0.25"/>
    <row r="56" spans="1:12" x14ac:dyDescent="0.25">
      <c r="J56" s="137" t="s">
        <v>18</v>
      </c>
      <c r="K56" s="137"/>
    </row>
    <row r="57" spans="1:12" x14ac:dyDescent="0.25">
      <c r="J57" s="137"/>
      <c r="K57" s="137"/>
    </row>
    <row r="58" spans="1:12" x14ac:dyDescent="0.25">
      <c r="J58" s="138"/>
      <c r="K58" s="138"/>
    </row>
    <row r="59" spans="1:12" ht="15.75" thickBot="1" x14ac:dyDescent="0.3">
      <c r="J59" s="109"/>
      <c r="K59" s="109"/>
    </row>
    <row r="60" spans="1:12" x14ac:dyDescent="0.25">
      <c r="J60" s="139" t="s">
        <v>17</v>
      </c>
      <c r="K60" s="139"/>
    </row>
    <row r="61" spans="1:12" x14ac:dyDescent="0.25">
      <c r="J61" s="140"/>
      <c r="K61" s="140"/>
    </row>
  </sheetData>
  <mergeCells count="16">
    <mergeCell ref="J60:K61"/>
    <mergeCell ref="A1:L1"/>
    <mergeCell ref="A2:F3"/>
    <mergeCell ref="G2:L3"/>
    <mergeCell ref="A4:L4"/>
    <mergeCell ref="A47:L47"/>
    <mergeCell ref="A48:F50"/>
    <mergeCell ref="G48:I48"/>
    <mergeCell ref="J48:L48"/>
    <mergeCell ref="G49:I50"/>
    <mergeCell ref="J49:L50"/>
    <mergeCell ref="A51:L51"/>
    <mergeCell ref="A52:B54"/>
    <mergeCell ref="C52:L54"/>
    <mergeCell ref="J56:K57"/>
    <mergeCell ref="J58:K59"/>
  </mergeCells>
  <pageMargins left="0.7" right="0.7" top="0.75" bottom="0.75" header="0.3" footer="0.3"/>
  <pageSetup scale="58" orientation="landscape" r:id="rId1"/>
  <drawing r:id="rId2"/>
  <tableParts count="1">
    <tablePart r:id="rId3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sqref="A1:L1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15" customHeight="1" x14ac:dyDescent="0.25">
      <c r="A2" s="127" t="s">
        <v>13</v>
      </c>
      <c r="B2" s="127"/>
      <c r="C2" s="127"/>
      <c r="D2" s="127"/>
      <c r="E2" s="127"/>
      <c r="F2" s="127"/>
      <c r="G2" s="129" t="s">
        <v>266</v>
      </c>
      <c r="H2" s="129"/>
      <c r="I2" s="129"/>
      <c r="J2" s="129"/>
      <c r="K2" s="129"/>
      <c r="L2" s="129"/>
    </row>
    <row r="3" spans="1:12" ht="15.75" customHeight="1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30" x14ac:dyDescent="0.25">
      <c r="A6" s="5">
        <v>1</v>
      </c>
      <c r="B6" s="37" t="s">
        <v>267</v>
      </c>
      <c r="C6" s="40" t="s">
        <v>269</v>
      </c>
      <c r="D6" s="16" t="s">
        <v>33</v>
      </c>
      <c r="E6" s="11">
        <v>70</v>
      </c>
      <c r="F6" s="17">
        <v>0</v>
      </c>
      <c r="G6" s="25">
        <v>0</v>
      </c>
      <c r="H6" s="17">
        <f>Table161331[[#This Row],[Количина]]*Table161331[[#This Row],[Цена по ЈМ без ПДВ – а]]</f>
        <v>0</v>
      </c>
      <c r="I6" s="18">
        <f>Table161331[[#This Row],[Стопа ПДВ - а]]*Table161331[[#This Row],[Укупна цена без ПДВ - а]]</f>
        <v>0</v>
      </c>
      <c r="J6" s="17">
        <f>Table161331[[#This Row],[Укупна цена без ПДВ - а]]+Table161331[[#This Row],[Укупно ПДВ]]</f>
        <v>0</v>
      </c>
      <c r="K6" s="31"/>
      <c r="L6" s="32"/>
    </row>
    <row r="7" spans="1:12" ht="19.5" thickBot="1" x14ac:dyDescent="0.3">
      <c r="A7" s="45">
        <v>2</v>
      </c>
      <c r="B7" s="46" t="s">
        <v>268</v>
      </c>
      <c r="C7" s="47" t="s">
        <v>270</v>
      </c>
      <c r="D7" s="29" t="s">
        <v>33</v>
      </c>
      <c r="E7" s="48">
        <v>10</v>
      </c>
      <c r="F7" s="49">
        <v>0</v>
      </c>
      <c r="G7" s="50">
        <v>0</v>
      </c>
      <c r="H7" s="49">
        <f>Table161331[[#This Row],[Количина]]*Table161331[[#This Row],[Цена по ЈМ без ПДВ – а]]</f>
        <v>0</v>
      </c>
      <c r="I7" s="51">
        <f>Table161331[[#This Row],[Стопа ПДВ - а]]*Table161331[[#This Row],[Укупна цена без ПДВ - а]]</f>
        <v>0</v>
      </c>
      <c r="J7" s="49">
        <f>Table161331[[#This Row],[Укупна цена без ПДВ - а]]+Table161331[[#This Row],[Укупно ПДВ]]</f>
        <v>0</v>
      </c>
      <c r="K7" s="52"/>
      <c r="L7" s="53"/>
    </row>
    <row r="8" spans="1:12" ht="15.75" thickBot="1" x14ac:dyDescent="0.3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spans="1:12" ht="15" customHeight="1" x14ac:dyDescent="0.25">
      <c r="A9" s="131" t="s">
        <v>14</v>
      </c>
      <c r="B9" s="131"/>
      <c r="C9" s="131"/>
      <c r="D9" s="131"/>
      <c r="E9" s="131"/>
      <c r="F9" s="131"/>
      <c r="G9" s="134" t="s">
        <v>15</v>
      </c>
      <c r="H9" s="134"/>
      <c r="I9" s="134"/>
      <c r="J9" s="134" t="s">
        <v>16</v>
      </c>
      <c r="K9" s="134"/>
      <c r="L9" s="134"/>
    </row>
    <row r="10" spans="1:12" ht="15" customHeight="1" x14ac:dyDescent="0.25">
      <c r="A10" s="132"/>
      <c r="B10" s="132"/>
      <c r="C10" s="132"/>
      <c r="D10" s="132"/>
      <c r="E10" s="132"/>
      <c r="F10" s="132"/>
      <c r="G10" s="135">
        <f>SUM(Table161331[Укупна цена без ПДВ - а])</f>
        <v>0</v>
      </c>
      <c r="H10" s="135"/>
      <c r="I10" s="135"/>
      <c r="J10" s="135">
        <f>SUM(Table161331[Укупна цена са ПДВ - ом])</f>
        <v>0</v>
      </c>
      <c r="K10" s="135"/>
      <c r="L10" s="135"/>
    </row>
    <row r="11" spans="1:12" ht="15.75" customHeight="1" thickBot="1" x14ac:dyDescent="0.3">
      <c r="A11" s="133"/>
      <c r="B11" s="133"/>
      <c r="C11" s="133"/>
      <c r="D11" s="133"/>
      <c r="E11" s="133"/>
      <c r="F11" s="133"/>
      <c r="G11" s="136"/>
      <c r="H11" s="136"/>
      <c r="I11" s="136"/>
      <c r="J11" s="136"/>
      <c r="K11" s="136"/>
      <c r="L11" s="136"/>
    </row>
    <row r="12" spans="1:12" ht="15.75" thickBot="1" x14ac:dyDescent="0.3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</row>
    <row r="13" spans="1:12" ht="15.75" customHeight="1" thickTop="1" x14ac:dyDescent="0.25">
      <c r="A13" s="141" t="s">
        <v>24</v>
      </c>
      <c r="B13" s="141"/>
      <c r="C13" s="144" t="s">
        <v>271</v>
      </c>
      <c r="D13" s="144"/>
      <c r="E13" s="144"/>
      <c r="F13" s="144"/>
      <c r="G13" s="144"/>
      <c r="H13" s="144"/>
      <c r="I13" s="144"/>
      <c r="J13" s="144"/>
      <c r="K13" s="144"/>
      <c r="L13" s="144"/>
    </row>
    <row r="14" spans="1:12" ht="15" customHeight="1" x14ac:dyDescent="0.25">
      <c r="A14" s="142"/>
      <c r="B14" s="142"/>
      <c r="C14" s="145"/>
      <c r="D14" s="145"/>
      <c r="E14" s="145"/>
      <c r="F14" s="145"/>
      <c r="G14" s="145"/>
      <c r="H14" s="145"/>
      <c r="I14" s="145"/>
      <c r="J14" s="145"/>
      <c r="K14" s="145"/>
      <c r="L14" s="145"/>
    </row>
    <row r="15" spans="1:12" ht="15.75" customHeight="1" thickBot="1" x14ac:dyDescent="0.3">
      <c r="A15" s="143"/>
      <c r="B15" s="143"/>
      <c r="C15" s="146"/>
      <c r="D15" s="146"/>
      <c r="E15" s="146"/>
      <c r="F15" s="146"/>
      <c r="G15" s="146"/>
      <c r="H15" s="146"/>
      <c r="I15" s="146"/>
      <c r="J15" s="146"/>
      <c r="K15" s="146"/>
      <c r="L15" s="146"/>
    </row>
    <row r="16" spans="1:12" ht="15.75" thickTop="1" x14ac:dyDescent="0.25"/>
    <row r="17" spans="10:11" x14ac:dyDescent="0.25">
      <c r="J17" s="137" t="s">
        <v>18</v>
      </c>
      <c r="K17" s="137"/>
    </row>
    <row r="18" spans="10:11" x14ac:dyDescent="0.25">
      <c r="J18" s="137"/>
      <c r="K18" s="137"/>
    </row>
    <row r="19" spans="10:11" x14ac:dyDescent="0.25">
      <c r="J19" s="138"/>
      <c r="K19" s="138"/>
    </row>
    <row r="20" spans="10:11" ht="15.75" thickBot="1" x14ac:dyDescent="0.3">
      <c r="J20" s="109"/>
      <c r="K20" s="109"/>
    </row>
    <row r="21" spans="10:11" x14ac:dyDescent="0.25">
      <c r="J21" s="139" t="s">
        <v>17</v>
      </c>
      <c r="K21" s="139"/>
    </row>
    <row r="22" spans="10:11" x14ac:dyDescent="0.25">
      <c r="J22" s="140"/>
      <c r="K22" s="140"/>
    </row>
  </sheetData>
  <mergeCells count="16">
    <mergeCell ref="J21:K22"/>
    <mergeCell ref="A1:L1"/>
    <mergeCell ref="A2:F3"/>
    <mergeCell ref="G2:L3"/>
    <mergeCell ref="A4:L4"/>
    <mergeCell ref="A8:L8"/>
    <mergeCell ref="A9:F11"/>
    <mergeCell ref="G9:I9"/>
    <mergeCell ref="J9:L9"/>
    <mergeCell ref="G10:I11"/>
    <mergeCell ref="J10:L11"/>
    <mergeCell ref="A12:L12"/>
    <mergeCell ref="A13:B15"/>
    <mergeCell ref="C13:L15"/>
    <mergeCell ref="J17:K18"/>
    <mergeCell ref="J19:K20"/>
  </mergeCells>
  <pageMargins left="0.7" right="0.7" top="0.75" bottom="0.75" header="0.3" footer="0.3"/>
  <pageSetup scale="58" orientation="landscape" r:id="rId1"/>
  <drawing r:id="rId2"/>
  <tableParts count="1">
    <tablePart r:id="rId3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C1" zoomScaleNormal="100" workbookViewId="0">
      <selection activeCell="R32" sqref="R32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15" customHeight="1" x14ac:dyDescent="0.25">
      <c r="A2" s="127" t="s">
        <v>13</v>
      </c>
      <c r="B2" s="127"/>
      <c r="C2" s="127"/>
      <c r="D2" s="127"/>
      <c r="E2" s="127"/>
      <c r="F2" s="127"/>
      <c r="G2" s="129" t="s">
        <v>272</v>
      </c>
      <c r="H2" s="129"/>
      <c r="I2" s="129"/>
      <c r="J2" s="129"/>
      <c r="K2" s="129"/>
      <c r="L2" s="129"/>
    </row>
    <row r="3" spans="1:12" ht="15.75" customHeight="1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45" x14ac:dyDescent="0.25">
      <c r="A6" s="5">
        <v>1</v>
      </c>
      <c r="B6" s="37" t="s">
        <v>276</v>
      </c>
      <c r="C6" s="40" t="s">
        <v>273</v>
      </c>
      <c r="D6" s="16" t="s">
        <v>55</v>
      </c>
      <c r="E6" s="11">
        <v>120</v>
      </c>
      <c r="F6" s="17">
        <v>0</v>
      </c>
      <c r="G6" s="25">
        <v>0</v>
      </c>
      <c r="H6" s="17">
        <f>Table161332[[#This Row],[Количина]]*Table161332[[#This Row],[Цена по ЈМ без ПДВ – а]]</f>
        <v>0</v>
      </c>
      <c r="I6" s="18">
        <f>Table161332[[#This Row],[Стопа ПДВ - а]]*Table161332[[#This Row],[Укупна цена без ПДВ - а]]</f>
        <v>0</v>
      </c>
      <c r="J6" s="17">
        <f>Table161332[[#This Row],[Укупна цена без ПДВ - а]]+Table161332[[#This Row],[Укупно ПДВ]]</f>
        <v>0</v>
      </c>
      <c r="K6" s="31"/>
      <c r="L6" s="32"/>
    </row>
    <row r="7" spans="1:12" ht="45" x14ac:dyDescent="0.25">
      <c r="A7" s="6">
        <v>2</v>
      </c>
      <c r="B7" s="38" t="s">
        <v>277</v>
      </c>
      <c r="C7" s="41" t="s">
        <v>274</v>
      </c>
      <c r="D7" s="16" t="s">
        <v>55</v>
      </c>
      <c r="E7" s="12">
        <v>120</v>
      </c>
      <c r="F7" s="19">
        <v>0</v>
      </c>
      <c r="G7" s="26">
        <v>0</v>
      </c>
      <c r="H7" s="19">
        <f>Table161332[[#This Row],[Количина]]*Table161332[[#This Row],[Цена по ЈМ без ПДВ – а]]</f>
        <v>0</v>
      </c>
      <c r="I7" s="20">
        <f>Table161332[[#This Row],[Стопа ПДВ - а]]*Table161332[[#This Row],[Укупна цена без ПДВ - а]]</f>
        <v>0</v>
      </c>
      <c r="J7" s="19">
        <f>Table161332[[#This Row],[Укупна цена без ПДВ - а]]+Table161332[[#This Row],[Укупно ПДВ]]</f>
        <v>0</v>
      </c>
      <c r="K7" s="33"/>
      <c r="L7" s="34"/>
    </row>
    <row r="8" spans="1:12" ht="45" x14ac:dyDescent="0.25">
      <c r="A8" s="6">
        <v>3</v>
      </c>
      <c r="B8" s="38" t="s">
        <v>278</v>
      </c>
      <c r="C8" s="41" t="s">
        <v>275</v>
      </c>
      <c r="D8" s="16" t="s">
        <v>55</v>
      </c>
      <c r="E8" s="12">
        <v>50</v>
      </c>
      <c r="F8" s="19">
        <v>0</v>
      </c>
      <c r="G8" s="26">
        <v>0</v>
      </c>
      <c r="H8" s="19">
        <f>Table161332[[#This Row],[Количина]]*Table161332[[#This Row],[Цена по ЈМ без ПДВ – а]]</f>
        <v>0</v>
      </c>
      <c r="I8" s="20">
        <f>Table161332[[#This Row],[Стопа ПДВ - а]]*Table161332[[#This Row],[Укупна цена без ПДВ - а]]</f>
        <v>0</v>
      </c>
      <c r="J8" s="19">
        <f>Table161332[[#This Row],[Укупна цена без ПДВ - а]]+Table161332[[#This Row],[Укупно ПДВ]]</f>
        <v>0</v>
      </c>
      <c r="K8" s="33"/>
      <c r="L8" s="34"/>
    </row>
    <row r="9" spans="1:12" ht="45" x14ac:dyDescent="0.25">
      <c r="A9" s="6">
        <v>4</v>
      </c>
      <c r="B9" s="38" t="s">
        <v>279</v>
      </c>
      <c r="C9" s="40" t="s">
        <v>282</v>
      </c>
      <c r="D9" s="16" t="s">
        <v>55</v>
      </c>
      <c r="E9" s="12">
        <v>100</v>
      </c>
      <c r="F9" s="19">
        <v>0</v>
      </c>
      <c r="G9" s="26">
        <v>0</v>
      </c>
      <c r="H9" s="19">
        <f>Table161332[[#This Row],[Количина]]*Table161332[[#This Row],[Цена по ЈМ без ПДВ – а]]</f>
        <v>0</v>
      </c>
      <c r="I9" s="20">
        <f>Table161332[[#This Row],[Стопа ПДВ - а]]*Table161332[[#This Row],[Укупна цена без ПДВ - а]]</f>
        <v>0</v>
      </c>
      <c r="J9" s="19">
        <f>Table161332[[#This Row],[Укупна цена без ПДВ - а]]+Table161332[[#This Row],[Укупно ПДВ]]</f>
        <v>0</v>
      </c>
      <c r="K9" s="33"/>
      <c r="L9" s="34"/>
    </row>
    <row r="10" spans="1:12" ht="45" x14ac:dyDescent="0.25">
      <c r="A10" s="6">
        <v>5</v>
      </c>
      <c r="B10" s="38" t="s">
        <v>280</v>
      </c>
      <c r="C10" s="40" t="s">
        <v>283</v>
      </c>
      <c r="D10" s="16" t="s">
        <v>55</v>
      </c>
      <c r="E10" s="12">
        <v>80</v>
      </c>
      <c r="F10" s="19">
        <v>0</v>
      </c>
      <c r="G10" s="26">
        <v>0</v>
      </c>
      <c r="H10" s="19">
        <f>Table161332[[#This Row],[Количина]]*Table161332[[#This Row],[Цена по ЈМ без ПДВ – а]]</f>
        <v>0</v>
      </c>
      <c r="I10" s="20">
        <f>Table161332[[#This Row],[Стопа ПДВ - а]]*Table161332[[#This Row],[Укупна цена без ПДВ - а]]</f>
        <v>0</v>
      </c>
      <c r="J10" s="19">
        <f>Table161332[[#This Row],[Укупна цена без ПДВ - а]]+Table161332[[#This Row],[Укупно ПДВ]]</f>
        <v>0</v>
      </c>
      <c r="K10" s="33"/>
      <c r="L10" s="34"/>
    </row>
    <row r="11" spans="1:12" ht="45" x14ac:dyDescent="0.25">
      <c r="A11" s="6">
        <v>6</v>
      </c>
      <c r="B11" s="38" t="s">
        <v>281</v>
      </c>
      <c r="C11" s="40" t="s">
        <v>284</v>
      </c>
      <c r="D11" s="16" t="s">
        <v>55</v>
      </c>
      <c r="E11" s="12">
        <v>50</v>
      </c>
      <c r="F11" s="19">
        <v>0</v>
      </c>
      <c r="G11" s="26">
        <v>0</v>
      </c>
      <c r="H11" s="19">
        <f>Table161332[[#This Row],[Количина]]*Table161332[[#This Row],[Цена по ЈМ без ПДВ – а]]</f>
        <v>0</v>
      </c>
      <c r="I11" s="20">
        <f>Table161332[[#This Row],[Стопа ПДВ - а]]*Table161332[[#This Row],[Укупна цена без ПДВ - а]]</f>
        <v>0</v>
      </c>
      <c r="J11" s="19">
        <f>Table161332[[#This Row],[Укупна цена без ПДВ - а]]+Table161332[[#This Row],[Укупно ПДВ]]</f>
        <v>0</v>
      </c>
      <c r="K11" s="33"/>
      <c r="L11" s="34"/>
    </row>
    <row r="12" spans="1:12" ht="45" x14ac:dyDescent="0.25">
      <c r="A12" s="6">
        <v>7</v>
      </c>
      <c r="B12" s="38" t="s">
        <v>285</v>
      </c>
      <c r="C12" s="41" t="s">
        <v>286</v>
      </c>
      <c r="D12" s="16" t="s">
        <v>55</v>
      </c>
      <c r="E12" s="12">
        <v>50</v>
      </c>
      <c r="F12" s="19">
        <v>0</v>
      </c>
      <c r="G12" s="26">
        <v>0</v>
      </c>
      <c r="H12" s="19">
        <f>Table161332[[#This Row],[Количина]]*Table161332[[#This Row],[Цена по ЈМ без ПДВ – а]]</f>
        <v>0</v>
      </c>
      <c r="I12" s="20">
        <f>Table161332[[#This Row],[Стопа ПДВ - а]]*Table161332[[#This Row],[Укупна цена без ПДВ - а]]</f>
        <v>0</v>
      </c>
      <c r="J12" s="19">
        <f>Table161332[[#This Row],[Укупна цена без ПДВ - а]]+Table161332[[#This Row],[Укупно ПДВ]]</f>
        <v>0</v>
      </c>
      <c r="K12" s="33"/>
      <c r="L12" s="34"/>
    </row>
    <row r="13" spans="1:12" ht="45" x14ac:dyDescent="0.25">
      <c r="A13" s="6">
        <v>8</v>
      </c>
      <c r="B13" s="38" t="s">
        <v>287</v>
      </c>
      <c r="C13" s="41" t="s">
        <v>290</v>
      </c>
      <c r="D13" s="16" t="s">
        <v>55</v>
      </c>
      <c r="E13" s="12">
        <v>600</v>
      </c>
      <c r="F13" s="19">
        <v>0</v>
      </c>
      <c r="G13" s="26">
        <v>0</v>
      </c>
      <c r="H13" s="19">
        <f>Table161332[[#This Row],[Количина]]*Table161332[[#This Row],[Цена по ЈМ без ПДВ – а]]</f>
        <v>0</v>
      </c>
      <c r="I13" s="20">
        <f>Table161332[[#This Row],[Стопа ПДВ - а]]*Table161332[[#This Row],[Укупна цена без ПДВ - а]]</f>
        <v>0</v>
      </c>
      <c r="J13" s="19">
        <f>Table161332[[#This Row],[Укупна цена без ПДВ - а]]+Table161332[[#This Row],[Укупно ПДВ]]</f>
        <v>0</v>
      </c>
      <c r="K13" s="33"/>
      <c r="L13" s="34"/>
    </row>
    <row r="14" spans="1:12" ht="45" x14ac:dyDescent="0.25">
      <c r="A14" s="6">
        <v>9</v>
      </c>
      <c r="B14" s="38" t="s">
        <v>287</v>
      </c>
      <c r="C14" s="41" t="s">
        <v>291</v>
      </c>
      <c r="D14" s="16" t="s">
        <v>55</v>
      </c>
      <c r="E14" s="12">
        <v>600</v>
      </c>
      <c r="F14" s="19">
        <v>0</v>
      </c>
      <c r="G14" s="26">
        <v>0</v>
      </c>
      <c r="H14" s="19">
        <f>Table161332[[#This Row],[Количина]]*Table161332[[#This Row],[Цена по ЈМ без ПДВ – а]]</f>
        <v>0</v>
      </c>
      <c r="I14" s="20">
        <f>Table161332[[#This Row],[Стопа ПДВ - а]]*Table161332[[#This Row],[Укупна цена без ПДВ - а]]</f>
        <v>0</v>
      </c>
      <c r="J14" s="19">
        <f>Table161332[[#This Row],[Укупна цена без ПДВ - а]]+Table161332[[#This Row],[Укупно ПДВ]]</f>
        <v>0</v>
      </c>
      <c r="K14" s="33"/>
      <c r="L14" s="34"/>
    </row>
    <row r="15" spans="1:12" ht="19.5" thickBot="1" x14ac:dyDescent="0.3">
      <c r="A15" s="45">
        <v>10</v>
      </c>
      <c r="B15" s="46" t="s">
        <v>288</v>
      </c>
      <c r="C15" s="47" t="s">
        <v>289</v>
      </c>
      <c r="D15" s="29" t="s">
        <v>55</v>
      </c>
      <c r="E15" s="48">
        <v>1200</v>
      </c>
      <c r="F15" s="49">
        <v>0</v>
      </c>
      <c r="G15" s="50">
        <v>0</v>
      </c>
      <c r="H15" s="49">
        <f>Table161332[[#This Row],[Количина]]*Table161332[[#This Row],[Цена по ЈМ без ПДВ – а]]</f>
        <v>0</v>
      </c>
      <c r="I15" s="51">
        <f>Table161332[[#This Row],[Стопа ПДВ - а]]*Table161332[[#This Row],[Укупна цена без ПДВ - а]]</f>
        <v>0</v>
      </c>
      <c r="J15" s="49">
        <f>Table161332[[#This Row],[Укупна цена без ПДВ - а]]+Table161332[[#This Row],[Укупно ПДВ]]</f>
        <v>0</v>
      </c>
      <c r="K15" s="52"/>
      <c r="L15" s="53"/>
    </row>
    <row r="16" spans="1:12" ht="15.75" thickBot="1" x14ac:dyDescent="0.3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</row>
    <row r="17" spans="1:12" ht="15" customHeight="1" x14ac:dyDescent="0.25">
      <c r="A17" s="131" t="s">
        <v>14</v>
      </c>
      <c r="B17" s="131"/>
      <c r="C17" s="131"/>
      <c r="D17" s="131"/>
      <c r="E17" s="131"/>
      <c r="F17" s="131"/>
      <c r="G17" s="134" t="s">
        <v>15</v>
      </c>
      <c r="H17" s="134"/>
      <c r="I17" s="134"/>
      <c r="J17" s="134" t="s">
        <v>16</v>
      </c>
      <c r="K17" s="134"/>
      <c r="L17" s="134"/>
    </row>
    <row r="18" spans="1:12" ht="15" customHeight="1" x14ac:dyDescent="0.25">
      <c r="A18" s="132"/>
      <c r="B18" s="132"/>
      <c r="C18" s="132"/>
      <c r="D18" s="132"/>
      <c r="E18" s="132"/>
      <c r="F18" s="132"/>
      <c r="G18" s="135">
        <f>SUM(Table161332[Укупна цена без ПДВ - а])</f>
        <v>0</v>
      </c>
      <c r="H18" s="135"/>
      <c r="I18" s="135"/>
      <c r="J18" s="135">
        <f>SUM(Table161332[Укупна цена са ПДВ - ом])</f>
        <v>0</v>
      </c>
      <c r="K18" s="135"/>
      <c r="L18" s="135"/>
    </row>
    <row r="19" spans="1:12" ht="15.75" customHeight="1" thickBot="1" x14ac:dyDescent="0.3">
      <c r="A19" s="133"/>
      <c r="B19" s="133"/>
      <c r="C19" s="133"/>
      <c r="D19" s="133"/>
      <c r="E19" s="133"/>
      <c r="F19" s="133"/>
      <c r="G19" s="136"/>
      <c r="H19" s="136"/>
      <c r="I19" s="136"/>
      <c r="J19" s="136"/>
      <c r="K19" s="136"/>
      <c r="L19" s="136"/>
    </row>
    <row r="20" spans="1:12" ht="15.75" thickBot="1" x14ac:dyDescent="0.3">
      <c r="A20" s="126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</row>
    <row r="21" spans="1:12" ht="15.75" customHeight="1" thickTop="1" x14ac:dyDescent="0.25">
      <c r="A21" s="141" t="s">
        <v>24</v>
      </c>
      <c r="B21" s="141"/>
      <c r="C21" s="144" t="s">
        <v>69</v>
      </c>
      <c r="D21" s="144"/>
      <c r="E21" s="144"/>
      <c r="F21" s="144"/>
      <c r="G21" s="144"/>
      <c r="H21" s="144"/>
      <c r="I21" s="144"/>
      <c r="J21" s="144"/>
      <c r="K21" s="144"/>
      <c r="L21" s="144"/>
    </row>
    <row r="22" spans="1:12" ht="15" customHeight="1" x14ac:dyDescent="0.25">
      <c r="A22" s="142"/>
      <c r="B22" s="142"/>
      <c r="C22" s="145"/>
      <c r="D22" s="145"/>
      <c r="E22" s="145"/>
      <c r="F22" s="145"/>
      <c r="G22" s="145"/>
      <c r="H22" s="145"/>
      <c r="I22" s="145"/>
      <c r="J22" s="145"/>
      <c r="K22" s="145"/>
      <c r="L22" s="145"/>
    </row>
    <row r="23" spans="1:12" ht="15.75" customHeight="1" thickBot="1" x14ac:dyDescent="0.3">
      <c r="A23" s="143"/>
      <c r="B23" s="143"/>
      <c r="C23" s="146"/>
      <c r="D23" s="146"/>
      <c r="E23" s="146"/>
      <c r="F23" s="146"/>
      <c r="G23" s="146"/>
      <c r="H23" s="146"/>
      <c r="I23" s="146"/>
      <c r="J23" s="146"/>
      <c r="K23" s="146"/>
      <c r="L23" s="146"/>
    </row>
    <row r="24" spans="1:12" ht="15.75" thickTop="1" x14ac:dyDescent="0.25"/>
    <row r="25" spans="1:12" x14ac:dyDescent="0.25">
      <c r="J25" s="137" t="s">
        <v>18</v>
      </c>
      <c r="K25" s="137"/>
    </row>
    <row r="26" spans="1:12" x14ac:dyDescent="0.25">
      <c r="J26" s="137"/>
      <c r="K26" s="137"/>
    </row>
    <row r="27" spans="1:12" x14ac:dyDescent="0.25">
      <c r="J27" s="138"/>
      <c r="K27" s="138"/>
    </row>
    <row r="28" spans="1:12" ht="15.75" thickBot="1" x14ac:dyDescent="0.3">
      <c r="J28" s="109"/>
      <c r="K28" s="109"/>
    </row>
    <row r="29" spans="1:12" x14ac:dyDescent="0.25">
      <c r="J29" s="139" t="s">
        <v>17</v>
      </c>
      <c r="K29" s="139"/>
    </row>
    <row r="30" spans="1:12" x14ac:dyDescent="0.25">
      <c r="J30" s="140"/>
      <c r="K30" s="140"/>
    </row>
  </sheetData>
  <mergeCells count="16">
    <mergeCell ref="J29:K30"/>
    <mergeCell ref="A1:L1"/>
    <mergeCell ref="A2:F3"/>
    <mergeCell ref="G2:L3"/>
    <mergeCell ref="A4:L4"/>
    <mergeCell ref="A16:L16"/>
    <mergeCell ref="A17:F19"/>
    <mergeCell ref="G17:I17"/>
    <mergeCell ref="J17:L17"/>
    <mergeCell ref="G18:I19"/>
    <mergeCell ref="J18:L19"/>
    <mergeCell ref="A20:L20"/>
    <mergeCell ref="A21:B23"/>
    <mergeCell ref="C21:L23"/>
    <mergeCell ref="J25:K26"/>
    <mergeCell ref="J27:K28"/>
  </mergeCells>
  <pageMargins left="0.7" right="0.7" top="0.75" bottom="0.75" header="0.3" footer="0.3"/>
  <pageSetup scale="58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0"/>
  <sheetViews>
    <sheetView topLeftCell="A25" workbookViewId="0">
      <selection activeCell="V36" sqref="V36"/>
    </sheetView>
  </sheetViews>
  <sheetFormatPr defaultRowHeight="15" x14ac:dyDescent="0.25"/>
  <cols>
    <col min="1" max="2" width="9.140625" style="30"/>
    <col min="3" max="3" width="4.140625" style="30" customWidth="1"/>
    <col min="4" max="16384" width="9.140625" style="30"/>
  </cols>
  <sheetData>
    <row r="2" spans="2:17" x14ac:dyDescent="0.25">
      <c r="B2" s="107"/>
      <c r="C2" s="107"/>
    </row>
    <row r="3" spans="2:17" ht="21" customHeight="1" x14ac:dyDescent="0.25">
      <c r="B3" s="107"/>
      <c r="C3" s="107"/>
      <c r="D3" s="90" t="s">
        <v>292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2:17" ht="18.75" customHeight="1" x14ac:dyDescent="0.25">
      <c r="B4" s="107"/>
      <c r="C4" s="107"/>
      <c r="D4" s="91" t="s">
        <v>293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2:17" ht="15.75" customHeight="1" x14ac:dyDescent="0.25">
      <c r="B5" s="107"/>
      <c r="C5" s="107"/>
      <c r="D5" s="93" t="s">
        <v>294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2:17" ht="18.75" x14ac:dyDescent="0.25">
      <c r="D6" s="95" t="s">
        <v>295</v>
      </c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9" spans="2:17" x14ac:dyDescent="0.25">
      <c r="B9" s="122" t="s">
        <v>318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</row>
    <row r="10" spans="2:17" x14ac:dyDescent="0.25"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</row>
    <row r="12" spans="2:17" x14ac:dyDescent="0.25"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</row>
    <row r="13" spans="2:17" x14ac:dyDescent="0.25"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</row>
    <row r="14" spans="2:17" ht="18.75" x14ac:dyDescent="0.25"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</row>
    <row r="15" spans="2:17" ht="15.75" thickBot="1" x14ac:dyDescent="0.3"/>
    <row r="16" spans="2:17" ht="50.1" customHeight="1" thickTop="1" thickBot="1" x14ac:dyDescent="0.3">
      <c r="B16" s="117" t="s">
        <v>319</v>
      </c>
      <c r="C16" s="118"/>
      <c r="D16" s="118"/>
      <c r="E16" s="118"/>
      <c r="F16" s="118"/>
      <c r="G16" s="119"/>
      <c r="H16" s="120"/>
      <c r="I16" s="120"/>
      <c r="J16" s="120"/>
      <c r="K16" s="120"/>
      <c r="L16" s="120"/>
      <c r="M16" s="120"/>
      <c r="N16" s="120"/>
      <c r="O16" s="120"/>
      <c r="P16" s="121"/>
    </row>
    <row r="17" spans="2:16" ht="50.1" customHeight="1" thickBot="1" x14ac:dyDescent="0.3">
      <c r="B17" s="110" t="s">
        <v>300</v>
      </c>
      <c r="C17" s="111"/>
      <c r="D17" s="111"/>
      <c r="E17" s="111"/>
      <c r="F17" s="111"/>
      <c r="G17" s="112"/>
      <c r="H17" s="113"/>
      <c r="I17" s="113"/>
      <c r="J17" s="113"/>
      <c r="K17" s="113"/>
      <c r="L17" s="113"/>
      <c r="M17" s="113"/>
      <c r="N17" s="113"/>
      <c r="O17" s="113"/>
      <c r="P17" s="114"/>
    </row>
    <row r="18" spans="2:16" ht="50.1" customHeight="1" thickBot="1" x14ac:dyDescent="0.3">
      <c r="B18" s="110" t="s">
        <v>301</v>
      </c>
      <c r="C18" s="111"/>
      <c r="D18" s="111"/>
      <c r="E18" s="111"/>
      <c r="F18" s="111"/>
      <c r="G18" s="112"/>
      <c r="H18" s="113"/>
      <c r="I18" s="113"/>
      <c r="J18" s="113"/>
      <c r="K18" s="113"/>
      <c r="L18" s="113"/>
      <c r="M18" s="113"/>
      <c r="N18" s="113"/>
      <c r="O18" s="113"/>
      <c r="P18" s="114"/>
    </row>
    <row r="19" spans="2:16" ht="50.1" customHeight="1" thickBot="1" x14ac:dyDescent="0.3">
      <c r="B19" s="110" t="s">
        <v>302</v>
      </c>
      <c r="C19" s="111"/>
      <c r="D19" s="111"/>
      <c r="E19" s="111"/>
      <c r="F19" s="111"/>
      <c r="G19" s="112"/>
      <c r="H19" s="113"/>
      <c r="I19" s="113"/>
      <c r="J19" s="113"/>
      <c r="K19" s="113"/>
      <c r="L19" s="113"/>
      <c r="M19" s="113"/>
      <c r="N19" s="113"/>
      <c r="O19" s="113"/>
      <c r="P19" s="114"/>
    </row>
    <row r="20" spans="2:16" ht="50.1" customHeight="1" thickBot="1" x14ac:dyDescent="0.3">
      <c r="B20" s="98" t="s">
        <v>303</v>
      </c>
      <c r="C20" s="99"/>
      <c r="D20" s="99"/>
      <c r="E20" s="99"/>
      <c r="F20" s="99"/>
      <c r="G20" s="100"/>
      <c r="H20" s="101"/>
      <c r="I20" s="101"/>
      <c r="J20" s="101"/>
      <c r="K20" s="101"/>
      <c r="L20" s="101"/>
      <c r="M20" s="101"/>
      <c r="N20" s="101"/>
      <c r="O20" s="101"/>
      <c r="P20" s="102"/>
    </row>
    <row r="21" spans="2:16" ht="19.5" customHeight="1" thickTop="1" x14ac:dyDescent="0.25"/>
    <row r="22" spans="2:16" ht="19.5" customHeight="1" x14ac:dyDescent="0.25">
      <c r="B22" s="103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</row>
    <row r="23" spans="2:16" ht="19.5" customHeight="1" x14ac:dyDescent="0.25"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</row>
    <row r="24" spans="2:16" ht="19.5" customHeight="1" x14ac:dyDescent="0.25"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</row>
    <row r="25" spans="2:16" ht="19.5" customHeight="1" x14ac:dyDescent="0.25"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</row>
    <row r="26" spans="2:16" ht="18.75" x14ac:dyDescent="0.25"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</row>
    <row r="27" spans="2:16" ht="18.75" x14ac:dyDescent="0.25"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</row>
    <row r="29" spans="2:16" x14ac:dyDescent="0.25">
      <c r="B29" s="97" t="s">
        <v>320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</row>
    <row r="30" spans="2:16" x14ac:dyDescent="0.25"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2:16" x14ac:dyDescent="0.25"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</row>
    <row r="32" spans="2:16" x14ac:dyDescent="0.25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</row>
    <row r="34" spans="11:15" x14ac:dyDescent="0.25">
      <c r="K34" s="107"/>
      <c r="L34" s="107"/>
      <c r="M34" s="107"/>
      <c r="N34" s="107"/>
      <c r="O34" s="107"/>
    </row>
    <row r="35" spans="11:15" x14ac:dyDescent="0.25">
      <c r="K35" s="107"/>
      <c r="L35" s="107"/>
      <c r="M35" s="107"/>
      <c r="N35" s="107"/>
      <c r="O35" s="107"/>
    </row>
    <row r="36" spans="11:15" ht="18.75" x14ac:dyDescent="0.25">
      <c r="K36" s="108" t="s">
        <v>18</v>
      </c>
      <c r="L36" s="108"/>
      <c r="M36" s="108"/>
      <c r="N36" s="108"/>
      <c r="O36" s="108"/>
    </row>
    <row r="37" spans="11:15" x14ac:dyDescent="0.25">
      <c r="K37" s="107"/>
      <c r="L37" s="107"/>
      <c r="M37" s="107"/>
      <c r="N37" s="107"/>
      <c r="O37" s="107"/>
    </row>
    <row r="38" spans="11:15" ht="15.75" thickBot="1" x14ac:dyDescent="0.3">
      <c r="K38" s="109"/>
      <c r="L38" s="109"/>
      <c r="M38" s="109"/>
      <c r="N38" s="109"/>
      <c r="O38" s="109"/>
    </row>
    <row r="39" spans="11:15" x14ac:dyDescent="0.25">
      <c r="K39" s="105" t="s">
        <v>17</v>
      </c>
      <c r="L39" s="105"/>
      <c r="M39" s="105"/>
      <c r="N39" s="105"/>
      <c r="O39" s="105"/>
    </row>
    <row r="40" spans="11:15" x14ac:dyDescent="0.25">
      <c r="K40" s="106"/>
      <c r="L40" s="106"/>
      <c r="M40" s="106"/>
      <c r="N40" s="106"/>
      <c r="O40" s="106"/>
    </row>
  </sheetData>
  <mergeCells count="30">
    <mergeCell ref="B9:P10"/>
    <mergeCell ref="B2:C5"/>
    <mergeCell ref="D3:Q3"/>
    <mergeCell ref="D4:Q4"/>
    <mergeCell ref="D5:Q5"/>
    <mergeCell ref="D6:Q6"/>
    <mergeCell ref="B12:P13"/>
    <mergeCell ref="B14:P14"/>
    <mergeCell ref="B16:G16"/>
    <mergeCell ref="H16:P16"/>
    <mergeCell ref="B17:G17"/>
    <mergeCell ref="H17:P17"/>
    <mergeCell ref="B18:G18"/>
    <mergeCell ref="H18:P18"/>
    <mergeCell ref="B19:G19"/>
    <mergeCell ref="H19:P19"/>
    <mergeCell ref="B20:G20"/>
    <mergeCell ref="H20:P20"/>
    <mergeCell ref="K39:O40"/>
    <mergeCell ref="B22:P23"/>
    <mergeCell ref="B24:P24"/>
    <mergeCell ref="B25:P25"/>
    <mergeCell ref="B26:P26"/>
    <mergeCell ref="B27:P27"/>
    <mergeCell ref="B29:P32"/>
    <mergeCell ref="K34:O34"/>
    <mergeCell ref="K35:O35"/>
    <mergeCell ref="K36:O36"/>
    <mergeCell ref="K37:O37"/>
    <mergeCell ref="K38:O38"/>
  </mergeCells>
  <hyperlinks>
    <hyperlink ref="D6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sqref="A1:L1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x14ac:dyDescent="0.25">
      <c r="A2" s="127" t="s">
        <v>13</v>
      </c>
      <c r="B2" s="127"/>
      <c r="C2" s="127"/>
      <c r="D2" s="127"/>
      <c r="E2" s="127"/>
      <c r="F2" s="127"/>
      <c r="G2" s="129" t="s">
        <v>20</v>
      </c>
      <c r="H2" s="129"/>
      <c r="I2" s="129"/>
      <c r="J2" s="129"/>
      <c r="K2" s="129"/>
      <c r="L2" s="129"/>
    </row>
    <row r="3" spans="1:12" ht="15.75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45" x14ac:dyDescent="0.25">
      <c r="A6" s="5">
        <v>1</v>
      </c>
      <c r="B6" s="37" t="s">
        <v>19</v>
      </c>
      <c r="C6" s="40" t="s">
        <v>21</v>
      </c>
      <c r="D6" s="16" t="s">
        <v>4</v>
      </c>
      <c r="E6" s="11">
        <v>15000</v>
      </c>
      <c r="F6" s="17">
        <v>0</v>
      </c>
      <c r="G6" s="25">
        <v>0</v>
      </c>
      <c r="H6" s="17">
        <f>Table161314[[#This Row],[Количина]]*Table161314[[#This Row],[Цена по ЈМ без ПДВ – а]]</f>
        <v>0</v>
      </c>
      <c r="I6" s="18">
        <f>Table161314[[#This Row],[Стопа ПДВ - а]]*Table161314[[#This Row],[Укупна цена без ПДВ - а]]</f>
        <v>0</v>
      </c>
      <c r="J6" s="17">
        <f>Table161314[[#This Row],[Укупна цена без ПДВ - а]]+Table161314[[#This Row],[Укупно ПДВ]]</f>
        <v>0</v>
      </c>
      <c r="K6" s="31"/>
      <c r="L6" s="32"/>
    </row>
    <row r="7" spans="1:12" ht="30.75" thickBot="1" x14ac:dyDescent="0.3">
      <c r="A7" s="45">
        <v>2</v>
      </c>
      <c r="B7" s="46" t="s">
        <v>22</v>
      </c>
      <c r="C7" s="47" t="s">
        <v>23</v>
      </c>
      <c r="D7" s="29" t="s">
        <v>4</v>
      </c>
      <c r="E7" s="48">
        <v>3000</v>
      </c>
      <c r="F7" s="49">
        <v>0</v>
      </c>
      <c r="G7" s="50">
        <v>0</v>
      </c>
      <c r="H7" s="49">
        <f>Table161314[[#This Row],[Количина]]*Table161314[[#This Row],[Цена по ЈМ без ПДВ – а]]</f>
        <v>0</v>
      </c>
      <c r="I7" s="51">
        <f>Table161314[[#This Row],[Стопа ПДВ - а]]*Table161314[[#This Row],[Укупна цена без ПДВ - а]]</f>
        <v>0</v>
      </c>
      <c r="J7" s="49">
        <f>Table161314[[#This Row],[Укупна цена без ПДВ - а]]+Table161314[[#This Row],[Укупно ПДВ]]</f>
        <v>0</v>
      </c>
      <c r="K7" s="52"/>
      <c r="L7" s="53"/>
    </row>
    <row r="8" spans="1:12" ht="15.75" thickBot="1" x14ac:dyDescent="0.3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</row>
    <row r="9" spans="1:12" x14ac:dyDescent="0.25">
      <c r="A9" s="131" t="s">
        <v>14</v>
      </c>
      <c r="B9" s="131"/>
      <c r="C9" s="131"/>
      <c r="D9" s="131"/>
      <c r="E9" s="131"/>
      <c r="F9" s="131"/>
      <c r="G9" s="134" t="s">
        <v>15</v>
      </c>
      <c r="H9" s="134"/>
      <c r="I9" s="134"/>
      <c r="J9" s="134" t="s">
        <v>16</v>
      </c>
      <c r="K9" s="134"/>
      <c r="L9" s="134"/>
    </row>
    <row r="10" spans="1:12" x14ac:dyDescent="0.25">
      <c r="A10" s="132"/>
      <c r="B10" s="132"/>
      <c r="C10" s="132"/>
      <c r="D10" s="132"/>
      <c r="E10" s="132"/>
      <c r="F10" s="132"/>
      <c r="G10" s="135">
        <f>SUM(Table161314[Укупна цена без ПДВ - а])</f>
        <v>0</v>
      </c>
      <c r="H10" s="135"/>
      <c r="I10" s="135"/>
      <c r="J10" s="135">
        <f>SUM(Table161314[Укупна цена са ПДВ - ом])</f>
        <v>0</v>
      </c>
      <c r="K10" s="135"/>
      <c r="L10" s="135"/>
    </row>
    <row r="11" spans="1:12" ht="15.75" thickBot="1" x14ac:dyDescent="0.3">
      <c r="A11" s="133"/>
      <c r="B11" s="133"/>
      <c r="C11" s="133"/>
      <c r="D11" s="133"/>
      <c r="E11" s="133"/>
      <c r="F11" s="133"/>
      <c r="G11" s="136"/>
      <c r="H11" s="136"/>
      <c r="I11" s="136"/>
      <c r="J11" s="136"/>
      <c r="K11" s="136"/>
      <c r="L11" s="136"/>
    </row>
    <row r="12" spans="1:12" ht="15.75" thickBot="1" x14ac:dyDescent="0.3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</row>
    <row r="13" spans="1:12" ht="15.75" customHeight="1" thickTop="1" x14ac:dyDescent="0.25">
      <c r="A13" s="141" t="s">
        <v>24</v>
      </c>
      <c r="B13" s="141"/>
      <c r="C13" s="144" t="s">
        <v>25</v>
      </c>
      <c r="D13" s="144"/>
      <c r="E13" s="144"/>
      <c r="F13" s="144"/>
      <c r="G13" s="144"/>
      <c r="H13" s="144"/>
      <c r="I13" s="144"/>
      <c r="J13" s="144"/>
      <c r="K13" s="144"/>
      <c r="L13" s="144"/>
    </row>
    <row r="14" spans="1:12" ht="15" customHeight="1" x14ac:dyDescent="0.25">
      <c r="A14" s="142"/>
      <c r="B14" s="142"/>
      <c r="C14" s="145"/>
      <c r="D14" s="145"/>
      <c r="E14" s="145"/>
      <c r="F14" s="145"/>
      <c r="G14" s="145"/>
      <c r="H14" s="145"/>
      <c r="I14" s="145"/>
      <c r="J14" s="145"/>
      <c r="K14" s="145"/>
      <c r="L14" s="145"/>
    </row>
    <row r="15" spans="1:12" ht="15.75" customHeight="1" thickBot="1" x14ac:dyDescent="0.3">
      <c r="A15" s="143"/>
      <c r="B15" s="143"/>
      <c r="C15" s="146"/>
      <c r="D15" s="146"/>
      <c r="E15" s="146"/>
      <c r="F15" s="146"/>
      <c r="G15" s="146"/>
      <c r="H15" s="146"/>
      <c r="I15" s="146"/>
      <c r="J15" s="146"/>
      <c r="K15" s="146"/>
      <c r="L15" s="146"/>
    </row>
    <row r="16" spans="1:12" ht="15.75" thickTop="1" x14ac:dyDescent="0.25"/>
    <row r="17" spans="10:11" x14ac:dyDescent="0.25">
      <c r="J17" s="137" t="s">
        <v>18</v>
      </c>
      <c r="K17" s="137"/>
    </row>
    <row r="18" spans="10:11" x14ac:dyDescent="0.25">
      <c r="J18" s="137"/>
      <c r="K18" s="137"/>
    </row>
    <row r="19" spans="10:11" x14ac:dyDescent="0.25">
      <c r="J19" s="138"/>
      <c r="K19" s="138"/>
    </row>
    <row r="20" spans="10:11" ht="15.75" thickBot="1" x14ac:dyDescent="0.3">
      <c r="J20" s="109"/>
      <c r="K20" s="109"/>
    </row>
    <row r="21" spans="10:11" x14ac:dyDescent="0.25">
      <c r="J21" s="139" t="s">
        <v>17</v>
      </c>
      <c r="K21" s="139"/>
    </row>
    <row r="22" spans="10:11" x14ac:dyDescent="0.25">
      <c r="J22" s="140"/>
      <c r="K22" s="140"/>
    </row>
  </sheetData>
  <mergeCells count="16">
    <mergeCell ref="J17:K18"/>
    <mergeCell ref="J19:K20"/>
    <mergeCell ref="J21:K22"/>
    <mergeCell ref="A13:B15"/>
    <mergeCell ref="C13:L15"/>
    <mergeCell ref="A1:L1"/>
    <mergeCell ref="A4:L4"/>
    <mergeCell ref="A8:L8"/>
    <mergeCell ref="A12:L12"/>
    <mergeCell ref="A2:F3"/>
    <mergeCell ref="G2:L3"/>
    <mergeCell ref="A9:F11"/>
    <mergeCell ref="G9:I9"/>
    <mergeCell ref="J9:L9"/>
    <mergeCell ref="G10:I11"/>
    <mergeCell ref="J10:L11"/>
  </mergeCells>
  <pageMargins left="0.7" right="0.7" top="0.75" bottom="0.75" header="0.3" footer="0.3"/>
  <pageSetup scale="58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>
      <selection activeCell="H30" sqref="H30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x14ac:dyDescent="0.25">
      <c r="A2" s="127" t="s">
        <v>13</v>
      </c>
      <c r="B2" s="127"/>
      <c r="C2" s="127"/>
      <c r="D2" s="127"/>
      <c r="E2" s="127"/>
      <c r="F2" s="127"/>
      <c r="G2" s="129" t="s">
        <v>26</v>
      </c>
      <c r="H2" s="129"/>
      <c r="I2" s="129"/>
      <c r="J2" s="129"/>
      <c r="K2" s="129"/>
      <c r="L2" s="129"/>
    </row>
    <row r="3" spans="1:12" ht="15.75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60.75" thickBot="1" x14ac:dyDescent="0.3">
      <c r="A6" s="54">
        <v>1</v>
      </c>
      <c r="B6" s="55" t="s">
        <v>27</v>
      </c>
      <c r="C6" s="56" t="s">
        <v>28</v>
      </c>
      <c r="D6" s="57" t="s">
        <v>4</v>
      </c>
      <c r="E6" s="58">
        <v>15000</v>
      </c>
      <c r="F6" s="59">
        <v>0</v>
      </c>
      <c r="G6" s="60">
        <v>0</v>
      </c>
      <c r="H6" s="59">
        <f>Table161315[[#This Row],[Количина]]*Table161315[[#This Row],[Цена по ЈМ без ПДВ – а]]</f>
        <v>0</v>
      </c>
      <c r="I6" s="61">
        <f>Table161315[[#This Row],[Стопа ПДВ - а]]*Table161315[[#This Row],[Укупна цена без ПДВ - а]]</f>
        <v>0</v>
      </c>
      <c r="J6" s="59">
        <f>Table161315[[#This Row],[Укупна цена без ПДВ - а]]+Table161315[[#This Row],[Укупно ПДВ]]</f>
        <v>0</v>
      </c>
      <c r="K6" s="62"/>
      <c r="L6" s="63"/>
    </row>
    <row r="7" spans="1:12" ht="15.75" thickBot="1" x14ac:dyDescent="0.3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x14ac:dyDescent="0.25">
      <c r="A8" s="131" t="s">
        <v>14</v>
      </c>
      <c r="B8" s="131"/>
      <c r="C8" s="131"/>
      <c r="D8" s="131"/>
      <c r="E8" s="131"/>
      <c r="F8" s="131"/>
      <c r="G8" s="134" t="s">
        <v>15</v>
      </c>
      <c r="H8" s="134"/>
      <c r="I8" s="134"/>
      <c r="J8" s="134" t="s">
        <v>16</v>
      </c>
      <c r="K8" s="134"/>
      <c r="L8" s="134"/>
    </row>
    <row r="9" spans="1:12" x14ac:dyDescent="0.25">
      <c r="A9" s="132"/>
      <c r="B9" s="132"/>
      <c r="C9" s="132"/>
      <c r="D9" s="132"/>
      <c r="E9" s="132"/>
      <c r="F9" s="132"/>
      <c r="G9" s="135">
        <f>SUM(Table161315[Укупна цена без ПДВ - а])</f>
        <v>0</v>
      </c>
      <c r="H9" s="135"/>
      <c r="I9" s="135"/>
      <c r="J9" s="135">
        <f>SUM(Table161315[Укупна цена са ПДВ - ом])</f>
        <v>0</v>
      </c>
      <c r="K9" s="135"/>
      <c r="L9" s="135"/>
    </row>
    <row r="10" spans="1:12" ht="15.75" thickBot="1" x14ac:dyDescent="0.3">
      <c r="A10" s="133"/>
      <c r="B10" s="133"/>
      <c r="C10" s="133"/>
      <c r="D10" s="133"/>
      <c r="E10" s="133"/>
      <c r="F10" s="133"/>
      <c r="G10" s="136"/>
      <c r="H10" s="136"/>
      <c r="I10" s="136"/>
      <c r="J10" s="136"/>
      <c r="K10" s="136"/>
      <c r="L10" s="136"/>
    </row>
    <row r="11" spans="1:12" ht="15.75" thickBot="1" x14ac:dyDescent="0.3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</row>
    <row r="12" spans="1:12" ht="15.75" thickTop="1" x14ac:dyDescent="0.25">
      <c r="A12" s="141" t="s">
        <v>24</v>
      </c>
      <c r="B12" s="141"/>
      <c r="C12" s="144" t="s">
        <v>29</v>
      </c>
      <c r="D12" s="144"/>
      <c r="E12" s="144"/>
      <c r="F12" s="144"/>
      <c r="G12" s="144"/>
      <c r="H12" s="144"/>
      <c r="I12" s="144"/>
      <c r="J12" s="144"/>
      <c r="K12" s="144"/>
      <c r="L12" s="144"/>
    </row>
    <row r="13" spans="1:12" x14ac:dyDescent="0.25">
      <c r="A13" s="142"/>
      <c r="B13" s="142"/>
      <c r="C13" s="145"/>
      <c r="D13" s="145"/>
      <c r="E13" s="145"/>
      <c r="F13" s="145"/>
      <c r="G13" s="145"/>
      <c r="H13" s="145"/>
      <c r="I13" s="145"/>
      <c r="J13" s="145"/>
      <c r="K13" s="145"/>
      <c r="L13" s="145"/>
    </row>
    <row r="14" spans="1:12" ht="15.75" thickBot="1" x14ac:dyDescent="0.3">
      <c r="A14" s="143"/>
      <c r="B14" s="143"/>
      <c r="C14" s="146"/>
      <c r="D14" s="146"/>
      <c r="E14" s="146"/>
      <c r="F14" s="146"/>
      <c r="G14" s="146"/>
      <c r="H14" s="146"/>
      <c r="I14" s="146"/>
      <c r="J14" s="146"/>
      <c r="K14" s="146"/>
      <c r="L14" s="146"/>
    </row>
    <row r="15" spans="1:12" ht="15.75" thickTop="1" x14ac:dyDescent="0.25"/>
    <row r="16" spans="1:12" x14ac:dyDescent="0.25">
      <c r="J16" s="137" t="s">
        <v>18</v>
      </c>
      <c r="K16" s="137"/>
    </row>
    <row r="17" spans="10:11" x14ac:dyDescent="0.25">
      <c r="J17" s="137"/>
      <c r="K17" s="137"/>
    </row>
    <row r="18" spans="10:11" x14ac:dyDescent="0.25">
      <c r="J18" s="138"/>
      <c r="K18" s="138"/>
    </row>
    <row r="19" spans="10:11" ht="15.75" thickBot="1" x14ac:dyDescent="0.3">
      <c r="J19" s="109"/>
      <c r="K19" s="109"/>
    </row>
    <row r="20" spans="10:11" x14ac:dyDescent="0.25">
      <c r="J20" s="139" t="s">
        <v>17</v>
      </c>
      <c r="K20" s="139"/>
    </row>
    <row r="21" spans="10:11" x14ac:dyDescent="0.25">
      <c r="J21" s="140"/>
      <c r="K21" s="140"/>
    </row>
  </sheetData>
  <mergeCells count="16">
    <mergeCell ref="J16:K17"/>
    <mergeCell ref="J18:K19"/>
    <mergeCell ref="J20:K21"/>
    <mergeCell ref="A1:L1"/>
    <mergeCell ref="A4:L4"/>
    <mergeCell ref="A7:L7"/>
    <mergeCell ref="A11:L11"/>
    <mergeCell ref="A2:F3"/>
    <mergeCell ref="G2:L3"/>
    <mergeCell ref="A8:F10"/>
    <mergeCell ref="G8:I8"/>
    <mergeCell ref="J8:L8"/>
    <mergeCell ref="G9:I10"/>
    <mergeCell ref="J9:L10"/>
    <mergeCell ref="A12:B14"/>
    <mergeCell ref="C12:L14"/>
  </mergeCells>
  <pageMargins left="0.7" right="0.7" top="0.75" bottom="0.75" header="0.3" footer="0.3"/>
  <pageSetup scale="51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10" zoomScaleNormal="100" workbookViewId="0">
      <selection activeCell="E31" sqref="E31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x14ac:dyDescent="0.25">
      <c r="A2" s="127" t="s">
        <v>13</v>
      </c>
      <c r="B2" s="127"/>
      <c r="C2" s="127"/>
      <c r="D2" s="127"/>
      <c r="E2" s="127"/>
      <c r="F2" s="127"/>
      <c r="G2" s="129" t="s">
        <v>30</v>
      </c>
      <c r="H2" s="129"/>
      <c r="I2" s="129"/>
      <c r="J2" s="129"/>
      <c r="K2" s="129"/>
      <c r="L2" s="129"/>
    </row>
    <row r="3" spans="1:12" ht="15.75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45.75" thickBot="1" x14ac:dyDescent="0.3">
      <c r="A6" s="54">
        <v>1</v>
      </c>
      <c r="B6" s="55" t="s">
        <v>31</v>
      </c>
      <c r="C6" s="56" t="s">
        <v>32</v>
      </c>
      <c r="D6" s="57" t="s">
        <v>33</v>
      </c>
      <c r="E6" s="58">
        <v>700</v>
      </c>
      <c r="F6" s="59">
        <v>0</v>
      </c>
      <c r="G6" s="60">
        <v>0</v>
      </c>
      <c r="H6" s="59">
        <f>Table161316[[#This Row],[Количина]]*Table161316[[#This Row],[Цена по ЈМ без ПДВ – а]]</f>
        <v>0</v>
      </c>
      <c r="I6" s="61">
        <f>Table161316[[#This Row],[Стопа ПДВ - а]]*Table161316[[#This Row],[Укупна цена без ПДВ - а]]</f>
        <v>0</v>
      </c>
      <c r="J6" s="59">
        <f>Table161316[[#This Row],[Укупна цена без ПДВ - а]]+Table161316[[#This Row],[Укупно ПДВ]]</f>
        <v>0</v>
      </c>
      <c r="K6" s="62"/>
      <c r="L6" s="63"/>
    </row>
    <row r="7" spans="1:12" ht="15.75" thickBot="1" x14ac:dyDescent="0.3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x14ac:dyDescent="0.25">
      <c r="A8" s="131" t="s">
        <v>14</v>
      </c>
      <c r="B8" s="131"/>
      <c r="C8" s="131"/>
      <c r="D8" s="131"/>
      <c r="E8" s="131"/>
      <c r="F8" s="131"/>
      <c r="G8" s="134" t="s">
        <v>15</v>
      </c>
      <c r="H8" s="134"/>
      <c r="I8" s="134"/>
      <c r="J8" s="134" t="s">
        <v>16</v>
      </c>
      <c r="K8" s="134"/>
      <c r="L8" s="134"/>
    </row>
    <row r="9" spans="1:12" x14ac:dyDescent="0.25">
      <c r="A9" s="132"/>
      <c r="B9" s="132"/>
      <c r="C9" s="132"/>
      <c r="D9" s="132"/>
      <c r="E9" s="132"/>
      <c r="F9" s="132"/>
      <c r="G9" s="135">
        <f>SUM(Table161316[Укупна цена без ПДВ - а])</f>
        <v>0</v>
      </c>
      <c r="H9" s="135"/>
      <c r="I9" s="135"/>
      <c r="J9" s="135">
        <f>SUM(Table161316[Укупна цена са ПДВ - ом])</f>
        <v>0</v>
      </c>
      <c r="K9" s="135"/>
      <c r="L9" s="135"/>
    </row>
    <row r="10" spans="1:12" ht="15.75" thickBot="1" x14ac:dyDescent="0.3">
      <c r="A10" s="133"/>
      <c r="B10" s="133"/>
      <c r="C10" s="133"/>
      <c r="D10" s="133"/>
      <c r="E10" s="133"/>
      <c r="F10" s="133"/>
      <c r="G10" s="136"/>
      <c r="H10" s="136"/>
      <c r="I10" s="136"/>
      <c r="J10" s="136"/>
      <c r="K10" s="136"/>
      <c r="L10" s="136"/>
    </row>
    <row r="11" spans="1:12" ht="15.75" thickBot="1" x14ac:dyDescent="0.3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</row>
    <row r="12" spans="1:12" ht="15.75" thickTop="1" x14ac:dyDescent="0.25">
      <c r="A12" s="141" t="s">
        <v>24</v>
      </c>
      <c r="B12" s="141"/>
      <c r="C12" s="144"/>
      <c r="D12" s="144"/>
      <c r="E12" s="144"/>
      <c r="F12" s="144"/>
      <c r="G12" s="144"/>
      <c r="H12" s="144"/>
      <c r="I12" s="144"/>
      <c r="J12" s="144"/>
      <c r="K12" s="144"/>
      <c r="L12" s="144"/>
    </row>
    <row r="13" spans="1:12" x14ac:dyDescent="0.25">
      <c r="A13" s="142"/>
      <c r="B13" s="142"/>
      <c r="C13" s="145"/>
      <c r="D13" s="145"/>
      <c r="E13" s="145"/>
      <c r="F13" s="145"/>
      <c r="G13" s="145"/>
      <c r="H13" s="145"/>
      <c r="I13" s="145"/>
      <c r="J13" s="145"/>
      <c r="K13" s="145"/>
      <c r="L13" s="145"/>
    </row>
    <row r="14" spans="1:12" ht="15.75" thickBot="1" x14ac:dyDescent="0.3">
      <c r="A14" s="143"/>
      <c r="B14" s="143"/>
      <c r="C14" s="146"/>
      <c r="D14" s="146"/>
      <c r="E14" s="146"/>
      <c r="F14" s="146"/>
      <c r="G14" s="146"/>
      <c r="H14" s="146"/>
      <c r="I14" s="146"/>
      <c r="J14" s="146"/>
      <c r="K14" s="146"/>
      <c r="L14" s="146"/>
    </row>
    <row r="15" spans="1:12" ht="15.75" thickTop="1" x14ac:dyDescent="0.25"/>
    <row r="16" spans="1:12" x14ac:dyDescent="0.25">
      <c r="J16" s="137" t="s">
        <v>18</v>
      </c>
      <c r="K16" s="137"/>
    </row>
    <row r="17" spans="10:11" x14ac:dyDescent="0.25">
      <c r="J17" s="137"/>
      <c r="K17" s="137"/>
    </row>
    <row r="18" spans="10:11" x14ac:dyDescent="0.25">
      <c r="J18" s="138"/>
      <c r="K18" s="138"/>
    </row>
    <row r="19" spans="10:11" ht="15.75" thickBot="1" x14ac:dyDescent="0.3">
      <c r="J19" s="109"/>
      <c r="K19" s="109"/>
    </row>
    <row r="20" spans="10:11" x14ac:dyDescent="0.25">
      <c r="J20" s="139" t="s">
        <v>17</v>
      </c>
      <c r="K20" s="139"/>
    </row>
    <row r="21" spans="10:11" x14ac:dyDescent="0.25">
      <c r="J21" s="140"/>
      <c r="K21" s="140"/>
    </row>
  </sheetData>
  <mergeCells count="16">
    <mergeCell ref="A12:B14"/>
    <mergeCell ref="C12:L14"/>
    <mergeCell ref="J16:K17"/>
    <mergeCell ref="J18:K19"/>
    <mergeCell ref="J20:K21"/>
    <mergeCell ref="A1:L1"/>
    <mergeCell ref="A4:L4"/>
    <mergeCell ref="A7:L7"/>
    <mergeCell ref="A11:L11"/>
    <mergeCell ref="A2:F3"/>
    <mergeCell ref="G2:L3"/>
    <mergeCell ref="A8:F10"/>
    <mergeCell ref="G8:I8"/>
    <mergeCell ref="J8:L8"/>
    <mergeCell ref="G9:I10"/>
    <mergeCell ref="J9:L10"/>
  </mergeCells>
  <pageMargins left="0.7" right="0.7" top="0.75" bottom="0.75" header="0.3" footer="0.3"/>
  <pageSetup scale="58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L26" sqref="L26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x14ac:dyDescent="0.25">
      <c r="A2" s="127" t="s">
        <v>13</v>
      </c>
      <c r="B2" s="127"/>
      <c r="C2" s="127"/>
      <c r="D2" s="127"/>
      <c r="E2" s="127"/>
      <c r="F2" s="127"/>
      <c r="G2" s="129" t="s">
        <v>34</v>
      </c>
      <c r="H2" s="129"/>
      <c r="I2" s="129"/>
      <c r="J2" s="129"/>
      <c r="K2" s="129"/>
      <c r="L2" s="129"/>
    </row>
    <row r="3" spans="1:12" ht="15.75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4"/>
      <c r="B4" s="4"/>
      <c r="C4" s="4"/>
      <c r="D4" s="9"/>
      <c r="E4" s="4"/>
      <c r="F4" s="4"/>
      <c r="G4" s="4"/>
      <c r="H4" s="4"/>
      <c r="I4" s="4"/>
      <c r="J4" s="4"/>
      <c r="K4" s="4"/>
      <c r="L4" s="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30" x14ac:dyDescent="0.25">
      <c r="A6" s="5">
        <v>1</v>
      </c>
      <c r="B6" s="37" t="s">
        <v>35</v>
      </c>
      <c r="C6" s="40" t="s">
        <v>37</v>
      </c>
      <c r="D6" s="16" t="s">
        <v>33</v>
      </c>
      <c r="E6" s="11">
        <v>100</v>
      </c>
      <c r="F6" s="17">
        <v>0</v>
      </c>
      <c r="G6" s="25">
        <v>0</v>
      </c>
      <c r="H6" s="17">
        <f>Table161317[[#This Row],[Количина]]*Table161317[[#This Row],[Цена по ЈМ без ПДВ – а]]</f>
        <v>0</v>
      </c>
      <c r="I6" s="18">
        <f>Table161317[[#This Row],[Стопа ПДВ - а]]*Table161317[[#This Row],[Укупна цена без ПДВ - а]]</f>
        <v>0</v>
      </c>
      <c r="J6" s="17">
        <f>Table161317[[#This Row],[Укупна цена без ПДВ - а]]+Table161317[[#This Row],[Укупно ПДВ]]</f>
        <v>0</v>
      </c>
      <c r="K6" s="31"/>
      <c r="L6" s="32"/>
    </row>
    <row r="7" spans="1:12" ht="45.75" thickBot="1" x14ac:dyDescent="0.3">
      <c r="A7" s="45">
        <v>2</v>
      </c>
      <c r="B7" s="46" t="s">
        <v>36</v>
      </c>
      <c r="C7" s="47" t="s">
        <v>38</v>
      </c>
      <c r="D7" s="29" t="s">
        <v>33</v>
      </c>
      <c r="E7" s="48">
        <v>150</v>
      </c>
      <c r="F7" s="49">
        <v>0</v>
      </c>
      <c r="G7" s="50">
        <v>0</v>
      </c>
      <c r="H7" s="49">
        <f>Table161317[[#This Row],[Количина]]*Table161317[[#This Row],[Цена по ЈМ без ПДВ – а]]</f>
        <v>0</v>
      </c>
      <c r="I7" s="51">
        <f>Table161317[[#This Row],[Стопа ПДВ - а]]*Table161317[[#This Row],[Укупна цена без ПДВ - а]]</f>
        <v>0</v>
      </c>
      <c r="J7" s="49">
        <f>Table161317[[#This Row],[Укупна цена без ПДВ - а]]+Table161317[[#This Row],[Укупно ПДВ]]</f>
        <v>0</v>
      </c>
      <c r="K7" s="52"/>
      <c r="L7" s="53"/>
    </row>
    <row r="8" spans="1:12" ht="15.75" thickBot="1" x14ac:dyDescent="0.3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</row>
    <row r="9" spans="1:12" x14ac:dyDescent="0.25">
      <c r="A9" s="131" t="s">
        <v>14</v>
      </c>
      <c r="B9" s="131"/>
      <c r="C9" s="131"/>
      <c r="D9" s="131"/>
      <c r="E9" s="131"/>
      <c r="F9" s="131"/>
      <c r="G9" s="134" t="s">
        <v>15</v>
      </c>
      <c r="H9" s="134"/>
      <c r="I9" s="134"/>
      <c r="J9" s="134" t="s">
        <v>16</v>
      </c>
      <c r="K9" s="134"/>
      <c r="L9" s="134"/>
    </row>
    <row r="10" spans="1:12" x14ac:dyDescent="0.25">
      <c r="A10" s="132"/>
      <c r="B10" s="132"/>
      <c r="C10" s="132"/>
      <c r="D10" s="132"/>
      <c r="E10" s="132"/>
      <c r="F10" s="132"/>
      <c r="G10" s="135">
        <f>SUM(Table161317[Укупна цена без ПДВ - а])</f>
        <v>0</v>
      </c>
      <c r="H10" s="135"/>
      <c r="I10" s="135"/>
      <c r="J10" s="135">
        <f>SUM(Table161317[Укупна цена са ПДВ - ом])</f>
        <v>0</v>
      </c>
      <c r="K10" s="135"/>
      <c r="L10" s="135"/>
    </row>
    <row r="11" spans="1:12" ht="15.75" thickBot="1" x14ac:dyDescent="0.3">
      <c r="A11" s="133"/>
      <c r="B11" s="133"/>
      <c r="C11" s="133"/>
      <c r="D11" s="133"/>
      <c r="E11" s="133"/>
      <c r="F11" s="133"/>
      <c r="G11" s="136"/>
      <c r="H11" s="136"/>
      <c r="I11" s="136"/>
      <c r="J11" s="136"/>
      <c r="K11" s="136"/>
      <c r="L11" s="136"/>
    </row>
    <row r="12" spans="1:12" ht="15.75" thickBot="1" x14ac:dyDescent="0.3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</row>
    <row r="13" spans="1:12" ht="15.75" thickTop="1" x14ac:dyDescent="0.25">
      <c r="A13" s="141" t="s">
        <v>24</v>
      </c>
      <c r="B13" s="141"/>
      <c r="C13" s="144"/>
      <c r="D13" s="144"/>
      <c r="E13" s="144"/>
      <c r="F13" s="144"/>
      <c r="G13" s="144"/>
      <c r="H13" s="144"/>
      <c r="I13" s="144"/>
      <c r="J13" s="144"/>
      <c r="K13" s="144"/>
      <c r="L13" s="144"/>
    </row>
    <row r="14" spans="1:12" x14ac:dyDescent="0.25">
      <c r="A14" s="142"/>
      <c r="B14" s="142"/>
      <c r="C14" s="145"/>
      <c r="D14" s="145"/>
      <c r="E14" s="145"/>
      <c r="F14" s="145"/>
      <c r="G14" s="145"/>
      <c r="H14" s="145"/>
      <c r="I14" s="145"/>
      <c r="J14" s="145"/>
      <c r="K14" s="145"/>
      <c r="L14" s="145"/>
    </row>
    <row r="15" spans="1:12" ht="15.75" thickBot="1" x14ac:dyDescent="0.3">
      <c r="A15" s="143"/>
      <c r="B15" s="143"/>
      <c r="C15" s="146"/>
      <c r="D15" s="146"/>
      <c r="E15" s="146"/>
      <c r="F15" s="146"/>
      <c r="G15" s="146"/>
      <c r="H15" s="146"/>
      <c r="I15" s="146"/>
      <c r="J15" s="146"/>
      <c r="K15" s="146"/>
      <c r="L15" s="146"/>
    </row>
    <row r="16" spans="1:12" ht="15.75" thickTop="1" x14ac:dyDescent="0.25"/>
    <row r="17" spans="10:11" x14ac:dyDescent="0.25">
      <c r="J17" s="137" t="s">
        <v>18</v>
      </c>
      <c r="K17" s="137"/>
    </row>
    <row r="18" spans="10:11" x14ac:dyDescent="0.25">
      <c r="J18" s="137"/>
      <c r="K18" s="137"/>
    </row>
    <row r="19" spans="10:11" x14ac:dyDescent="0.25">
      <c r="J19" s="138"/>
      <c r="K19" s="138"/>
    </row>
    <row r="20" spans="10:11" ht="15.75" thickBot="1" x14ac:dyDescent="0.3">
      <c r="J20" s="109"/>
      <c r="K20" s="109"/>
    </row>
    <row r="21" spans="10:11" x14ac:dyDescent="0.25">
      <c r="J21" s="139" t="s">
        <v>17</v>
      </c>
      <c r="K21" s="139"/>
    </row>
    <row r="22" spans="10:11" x14ac:dyDescent="0.25">
      <c r="J22" s="140"/>
      <c r="K22" s="140"/>
    </row>
  </sheetData>
  <mergeCells count="15">
    <mergeCell ref="A1:L1"/>
    <mergeCell ref="A13:B15"/>
    <mergeCell ref="C13:L15"/>
    <mergeCell ref="J17:K18"/>
    <mergeCell ref="J19:K20"/>
    <mergeCell ref="J21:K22"/>
    <mergeCell ref="A8:L8"/>
    <mergeCell ref="A12:L12"/>
    <mergeCell ref="A2:F3"/>
    <mergeCell ref="G2:L3"/>
    <mergeCell ref="A9:F11"/>
    <mergeCell ref="G9:I9"/>
    <mergeCell ref="J9:L9"/>
    <mergeCell ref="G10:I11"/>
    <mergeCell ref="J10:L11"/>
  </mergeCells>
  <pageMargins left="0.7" right="0.7" top="0.75" bottom="0.75" header="0.3" footer="0.3"/>
  <pageSetup scale="51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sqref="A1:L1"/>
    </sheetView>
  </sheetViews>
  <sheetFormatPr defaultRowHeight="15" x14ac:dyDescent="0.25"/>
  <cols>
    <col min="1" max="1" width="7" style="30" customWidth="1"/>
    <col min="2" max="2" width="27.28515625" style="30" customWidth="1"/>
    <col min="3" max="3" width="31.7109375" style="30" customWidth="1"/>
    <col min="4" max="4" width="8.42578125" style="30" customWidth="1"/>
    <col min="5" max="5" width="14.28515625" style="30" customWidth="1"/>
    <col min="6" max="6" width="15.42578125" style="30" customWidth="1"/>
    <col min="7" max="7" width="17.42578125" style="30" customWidth="1"/>
    <col min="8" max="8" width="17.85546875" style="30" customWidth="1"/>
    <col min="9" max="9" width="17.140625" style="30" customWidth="1"/>
    <col min="10" max="10" width="18.140625" style="30" customWidth="1"/>
    <col min="11" max="11" width="16.5703125" style="30" customWidth="1"/>
    <col min="12" max="12" width="16.7109375" style="30" customWidth="1"/>
    <col min="13" max="16384" width="9.140625" style="30"/>
  </cols>
  <sheetData>
    <row r="1" spans="1:12" ht="15.75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x14ac:dyDescent="0.25">
      <c r="A2" s="127" t="s">
        <v>13</v>
      </c>
      <c r="B2" s="127"/>
      <c r="C2" s="127"/>
      <c r="D2" s="127"/>
      <c r="E2" s="127"/>
      <c r="F2" s="127"/>
      <c r="G2" s="129" t="s">
        <v>39</v>
      </c>
      <c r="H2" s="129"/>
      <c r="I2" s="129"/>
      <c r="J2" s="129"/>
      <c r="K2" s="129"/>
      <c r="L2" s="129"/>
    </row>
    <row r="3" spans="1:12" ht="15.75" thickBot="1" x14ac:dyDescent="0.3">
      <c r="A3" s="128"/>
      <c r="B3" s="128"/>
      <c r="C3" s="128"/>
      <c r="D3" s="128"/>
      <c r="E3" s="128"/>
      <c r="F3" s="128"/>
      <c r="G3" s="130"/>
      <c r="H3" s="130"/>
      <c r="I3" s="130"/>
      <c r="J3" s="130"/>
      <c r="K3" s="130"/>
      <c r="L3" s="130"/>
    </row>
    <row r="4" spans="1:12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0" x14ac:dyDescent="0.25">
      <c r="A5" s="2" t="s">
        <v>5</v>
      </c>
      <c r="B5" s="2" t="s">
        <v>6</v>
      </c>
      <c r="C5" s="2" t="s">
        <v>7</v>
      </c>
      <c r="D5" s="10" t="s">
        <v>8</v>
      </c>
      <c r="E5" s="2" t="s">
        <v>0</v>
      </c>
      <c r="F5" s="2" t="s">
        <v>1</v>
      </c>
      <c r="G5" s="15" t="s">
        <v>9</v>
      </c>
      <c r="H5" s="2" t="s">
        <v>10</v>
      </c>
      <c r="I5" s="2" t="s">
        <v>2</v>
      </c>
      <c r="J5" s="2" t="s">
        <v>11</v>
      </c>
      <c r="K5" s="3" t="s">
        <v>12</v>
      </c>
      <c r="L5" s="1" t="s">
        <v>3</v>
      </c>
    </row>
    <row r="6" spans="1:12" ht="60.75" thickBot="1" x14ac:dyDescent="0.3">
      <c r="A6" s="54">
        <v>1</v>
      </c>
      <c r="B6" s="55" t="s">
        <v>40</v>
      </c>
      <c r="C6" s="56" t="s">
        <v>41</v>
      </c>
      <c r="D6" s="57" t="s">
        <v>42</v>
      </c>
      <c r="E6" s="58">
        <v>30000</v>
      </c>
      <c r="F6" s="59">
        <v>0</v>
      </c>
      <c r="G6" s="60">
        <v>0</v>
      </c>
      <c r="H6" s="59">
        <f>Table161318[[#This Row],[Количина]]*Table161318[[#This Row],[Цена по ЈМ без ПДВ – а]]</f>
        <v>0</v>
      </c>
      <c r="I6" s="61">
        <f>Table161318[[#This Row],[Стопа ПДВ - а]]*Table161318[[#This Row],[Укупна цена без ПДВ - а]]</f>
        <v>0</v>
      </c>
      <c r="J6" s="59">
        <f>Table161318[[#This Row],[Укупна цена без ПДВ - а]]+Table161318[[#This Row],[Укупно ПДВ]]</f>
        <v>0</v>
      </c>
      <c r="K6" s="62"/>
      <c r="L6" s="63"/>
    </row>
    <row r="7" spans="1:12" ht="15.75" thickBot="1" x14ac:dyDescent="0.3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spans="1:12" x14ac:dyDescent="0.25">
      <c r="A8" s="131" t="s">
        <v>14</v>
      </c>
      <c r="B8" s="131"/>
      <c r="C8" s="131"/>
      <c r="D8" s="131"/>
      <c r="E8" s="131"/>
      <c r="F8" s="131"/>
      <c r="G8" s="134" t="s">
        <v>15</v>
      </c>
      <c r="H8" s="134"/>
      <c r="I8" s="134"/>
      <c r="J8" s="134" t="s">
        <v>16</v>
      </c>
      <c r="K8" s="134"/>
      <c r="L8" s="134"/>
    </row>
    <row r="9" spans="1:12" x14ac:dyDescent="0.25">
      <c r="A9" s="132"/>
      <c r="B9" s="132"/>
      <c r="C9" s="132"/>
      <c r="D9" s="132"/>
      <c r="E9" s="132"/>
      <c r="F9" s="132"/>
      <c r="G9" s="135">
        <f>SUM(Table161318[Укупна цена без ПДВ - а])</f>
        <v>0</v>
      </c>
      <c r="H9" s="135"/>
      <c r="I9" s="135"/>
      <c r="J9" s="135">
        <f>SUM(Table161318[Укупна цена са ПДВ - ом])</f>
        <v>0</v>
      </c>
      <c r="K9" s="135"/>
      <c r="L9" s="135"/>
    </row>
    <row r="10" spans="1:12" ht="15.75" thickBot="1" x14ac:dyDescent="0.3">
      <c r="A10" s="133"/>
      <c r="B10" s="133"/>
      <c r="C10" s="133"/>
      <c r="D10" s="133"/>
      <c r="E10" s="133"/>
      <c r="F10" s="133"/>
      <c r="G10" s="136"/>
      <c r="H10" s="136"/>
      <c r="I10" s="136"/>
      <c r="J10" s="136"/>
      <c r="K10" s="136"/>
      <c r="L10" s="136"/>
    </row>
    <row r="11" spans="1:12" ht="15.75" thickBot="1" x14ac:dyDescent="0.3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</row>
    <row r="12" spans="1:12" ht="15.75" thickTop="1" x14ac:dyDescent="0.25">
      <c r="A12" s="141" t="s">
        <v>24</v>
      </c>
      <c r="B12" s="141"/>
      <c r="C12" s="144" t="s">
        <v>43</v>
      </c>
      <c r="D12" s="144"/>
      <c r="E12" s="144"/>
      <c r="F12" s="144"/>
      <c r="G12" s="144"/>
      <c r="H12" s="144"/>
      <c r="I12" s="144"/>
      <c r="J12" s="144"/>
      <c r="K12" s="144"/>
      <c r="L12" s="144"/>
    </row>
    <row r="13" spans="1:12" x14ac:dyDescent="0.25">
      <c r="A13" s="142"/>
      <c r="B13" s="142"/>
      <c r="C13" s="145"/>
      <c r="D13" s="145"/>
      <c r="E13" s="145"/>
      <c r="F13" s="145"/>
      <c r="G13" s="145"/>
      <c r="H13" s="145"/>
      <c r="I13" s="145"/>
      <c r="J13" s="145"/>
      <c r="K13" s="145"/>
      <c r="L13" s="145"/>
    </row>
    <row r="14" spans="1:12" ht="15.75" thickBot="1" x14ac:dyDescent="0.3">
      <c r="A14" s="143"/>
      <c r="B14" s="143"/>
      <c r="C14" s="146"/>
      <c r="D14" s="146"/>
      <c r="E14" s="146"/>
      <c r="F14" s="146"/>
      <c r="G14" s="146"/>
      <c r="H14" s="146"/>
      <c r="I14" s="146"/>
      <c r="J14" s="146"/>
      <c r="K14" s="146"/>
      <c r="L14" s="146"/>
    </row>
    <row r="15" spans="1:12" ht="15.75" thickTop="1" x14ac:dyDescent="0.25"/>
    <row r="16" spans="1:12" x14ac:dyDescent="0.25">
      <c r="J16" s="137" t="s">
        <v>18</v>
      </c>
      <c r="K16" s="137"/>
    </row>
    <row r="17" spans="10:11" x14ac:dyDescent="0.25">
      <c r="J17" s="137"/>
      <c r="K17" s="137"/>
    </row>
    <row r="18" spans="10:11" x14ac:dyDescent="0.25">
      <c r="J18" s="138"/>
      <c r="K18" s="138"/>
    </row>
    <row r="19" spans="10:11" ht="15.75" thickBot="1" x14ac:dyDescent="0.3">
      <c r="J19" s="109"/>
      <c r="K19" s="109"/>
    </row>
    <row r="20" spans="10:11" x14ac:dyDescent="0.25">
      <c r="J20" s="139" t="s">
        <v>17</v>
      </c>
      <c r="K20" s="139"/>
    </row>
    <row r="21" spans="10:11" x14ac:dyDescent="0.25">
      <c r="J21" s="140"/>
      <c r="K21" s="140"/>
    </row>
  </sheetData>
  <mergeCells count="16">
    <mergeCell ref="J20:K21"/>
    <mergeCell ref="A1:L1"/>
    <mergeCell ref="A2:F3"/>
    <mergeCell ref="G2:L3"/>
    <mergeCell ref="A4:L4"/>
    <mergeCell ref="A7:L7"/>
    <mergeCell ref="A8:F10"/>
    <mergeCell ref="G8:I8"/>
    <mergeCell ref="J8:L8"/>
    <mergeCell ref="G9:I10"/>
    <mergeCell ref="J9:L10"/>
    <mergeCell ref="A11:L11"/>
    <mergeCell ref="A12:B14"/>
    <mergeCell ref="C12:L14"/>
    <mergeCell ref="J16:K17"/>
    <mergeCell ref="J18:K19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25</vt:i4>
      </vt:variant>
    </vt:vector>
  </HeadingPairs>
  <TitlesOfParts>
    <vt:vector size="57" baseType="lpstr">
      <vt:lpstr>ПОЧЕТНА</vt:lpstr>
      <vt:lpstr>Подаци о поуђачу</vt:lpstr>
      <vt:lpstr>Подаци о уч заједничка по</vt:lpstr>
      <vt:lpstr>Подаци о подизвођачу</vt:lpstr>
      <vt:lpstr>П-1</vt:lpstr>
      <vt:lpstr>П-2</vt:lpstr>
      <vt:lpstr>П-3</vt:lpstr>
      <vt:lpstr>П-4</vt:lpstr>
      <vt:lpstr>П-5</vt:lpstr>
      <vt:lpstr>П-6</vt:lpstr>
      <vt:lpstr>П-7</vt:lpstr>
      <vt:lpstr>П-8</vt:lpstr>
      <vt:lpstr>П-9</vt:lpstr>
      <vt:lpstr>П-10</vt:lpstr>
      <vt:lpstr>П-11</vt:lpstr>
      <vt:lpstr>П-12</vt:lpstr>
      <vt:lpstr>П-13</vt:lpstr>
      <vt:lpstr>П-14</vt:lpstr>
      <vt:lpstr>П-15</vt:lpstr>
      <vt:lpstr>П-16</vt:lpstr>
      <vt:lpstr>П-17</vt:lpstr>
      <vt:lpstr>П-18</vt:lpstr>
      <vt:lpstr>П-19</vt:lpstr>
      <vt:lpstr>П-20</vt:lpstr>
      <vt:lpstr>П-21</vt:lpstr>
      <vt:lpstr>П-22</vt:lpstr>
      <vt:lpstr>П-23</vt:lpstr>
      <vt:lpstr>П-24</vt:lpstr>
      <vt:lpstr>П-25</vt:lpstr>
      <vt:lpstr>П-26</vt:lpstr>
      <vt:lpstr>П-27</vt:lpstr>
      <vt:lpstr>П-28</vt:lpstr>
      <vt:lpstr>'П-10'!Print_Area</vt:lpstr>
      <vt:lpstr>'П-11'!Print_Area</vt:lpstr>
      <vt:lpstr>'П-12'!Print_Area</vt:lpstr>
      <vt:lpstr>'П-13'!Print_Area</vt:lpstr>
      <vt:lpstr>'П-14'!Print_Area</vt:lpstr>
      <vt:lpstr>'П-15'!Print_Area</vt:lpstr>
      <vt:lpstr>'П-17'!Print_Area</vt:lpstr>
      <vt:lpstr>'П-18'!Print_Area</vt:lpstr>
      <vt:lpstr>'П-2'!Print_Area</vt:lpstr>
      <vt:lpstr>'П-20'!Print_Area</vt:lpstr>
      <vt:lpstr>'П-21'!Print_Area</vt:lpstr>
      <vt:lpstr>'П-22'!Print_Area</vt:lpstr>
      <vt:lpstr>'П-23'!Print_Area</vt:lpstr>
      <vt:lpstr>'П-24'!Print_Area</vt:lpstr>
      <vt:lpstr>'П-25'!Print_Area</vt:lpstr>
      <vt:lpstr>'П-27'!Print_Area</vt:lpstr>
      <vt:lpstr>'П-28'!Print_Area</vt:lpstr>
      <vt:lpstr>'П-4'!Print_Area</vt:lpstr>
      <vt:lpstr>'П-6'!Print_Area</vt:lpstr>
      <vt:lpstr>'П-7'!Print_Area</vt:lpstr>
      <vt:lpstr>'П-8'!Print_Area</vt:lpstr>
      <vt:lpstr>'П-9'!Print_Area</vt:lpstr>
      <vt:lpstr>'Подаци о поуђачу'!Print_Area</vt:lpstr>
      <vt:lpstr>'Подаци о уч заједничка по'!Print_Area</vt:lpstr>
      <vt:lpstr>ПОЧЕТНА!Print_Area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infomedis</dc:creator>
  <cp:lastModifiedBy>infomedis</cp:lastModifiedBy>
  <cp:lastPrinted>2016-02-22T13:15:24Z</cp:lastPrinted>
  <dcterms:created xsi:type="dcterms:W3CDTF">2016-02-18T08:25:08Z</dcterms:created>
  <dcterms:modified xsi:type="dcterms:W3CDTF">2016-03-02T11:22:03Z</dcterms:modified>
</cp:coreProperties>
</file>